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สสจ." sheetId="1" r:id="rId1"/>
    <sheet name="พื้นที่อพยพ" sheetId="2" r:id="rId2"/>
    <sheet name="กลุ่มเป้าหมาย" sheetId="3" r:id="rId3"/>
    <sheet name="คัดกรองจิต" sheetId="4" r:id="rId4"/>
  </sheets>
  <definedNames/>
  <calcPr fullCalcOnLoad="1"/>
</workbook>
</file>

<file path=xl/sharedStrings.xml><?xml version="1.0" encoding="utf-8"?>
<sst xmlns="http://schemas.openxmlformats.org/spreadsheetml/2006/main" count="624" uniqueCount="248">
  <si>
    <t>อำเภอ (รายชื่อ)</t>
  </si>
  <si>
    <t>ตำบล</t>
  </si>
  <si>
    <t>หมู่บ้าน</t>
  </si>
  <si>
    <t>ครอบครัว</t>
  </si>
  <si>
    <t>ประชาชน</t>
  </si>
  <si>
    <t>สถานบริการสาธารณสุขที่ได้รับความเสียหาย</t>
  </si>
  <si>
    <t>รายละเอียด</t>
  </si>
  <si>
    <t>บาดเจ็บ(จำนวน)</t>
  </si>
  <si>
    <t>ตาย(จำนวน)</t>
  </si>
  <si>
    <t>รวม(ราย)</t>
  </si>
  <si>
    <t>จำนวนครั้งที่ให้บริการ</t>
  </si>
  <si>
    <t>จำนวนผู้รับบริการ(ราย)</t>
  </si>
  <si>
    <t>บริการสุขศึกษา(ราย)</t>
  </si>
  <si>
    <t>ประมาณความเสียหาย(บาท)</t>
  </si>
  <si>
    <t>เมืองอุทัยธานี</t>
  </si>
  <si>
    <t>ท่าซุง</t>
  </si>
  <si>
    <t>เกาะเทโพ</t>
  </si>
  <si>
    <t>พื้นที่และประชาชนที่ได้รับความเสียหาย (จำนวน)</t>
  </si>
  <si>
    <t xml:space="preserve">            ดินโคลนถล่ม</t>
  </si>
  <si>
    <t xml:space="preserve">           น้ำป่าไหลหลาก</t>
  </si>
  <si>
    <t xml:space="preserve">           น้ำท่วมขัง</t>
  </si>
  <si>
    <t xml:space="preserve">           น้ำล้นตลิ่ง</t>
  </si>
  <si>
    <t>แบบรายงานสถานการณ์น้ำท่วม</t>
  </si>
  <si>
    <t>สถานะสถานบริการ</t>
  </si>
  <si>
    <t>1 .เปิดบริการปกติ</t>
  </si>
  <si>
    <t>3. ปิดให้บริการ</t>
  </si>
  <si>
    <t>2  สถานบริการที่ได้รับความเสียหาย</t>
  </si>
  <si>
    <t>1  สถานการณ์ทั่วไป (เลือกในช่อง         แล้วเติมค่าในช่องว่าง)</t>
  </si>
  <si>
    <t>1.เสียชีวิต</t>
  </si>
  <si>
    <t>การเสียชีวิตหรือบาดเจ็บ</t>
  </si>
  <si>
    <t>หมายเหตุ(ระบุรายละเอียดที่สามารถระบุได้)</t>
  </si>
  <si>
    <t>การส่งผู้ป่วยผ่านระบบ EMS</t>
  </si>
  <si>
    <t>2.ได้รับบาดเจ็บ</t>
  </si>
  <si>
    <t>จำนวนหน่วยแพทย์</t>
  </si>
  <si>
    <t>1 โรคระบาด(ติดต่อ)</t>
  </si>
  <si>
    <t>2 โรคไม่ติดต่อ</t>
  </si>
  <si>
    <t>ประเมินปัญหาสุขภาพจิต(ราย)</t>
  </si>
  <si>
    <t>เครียดสูง(ราย)</t>
  </si>
  <si>
    <t>ซึมเศร้า(ราย)</t>
  </si>
  <si>
    <t>เสี่ยงต่อการฆ่าตัวตาย(ราย)</t>
  </si>
  <si>
    <t>PTSD(posttrautic stress disorder</t>
  </si>
  <si>
    <t>ต้องติดตามดูแลพิเศษ(ราย)</t>
  </si>
  <si>
    <t>กิจกรรมที่ดำเนินการ</t>
  </si>
  <si>
    <t>วัน เดือน ปี</t>
  </si>
  <si>
    <t>สถานที่ปฎิบัติงาน</t>
  </si>
  <si>
    <t>สร้างสร้วม</t>
  </si>
  <si>
    <t>กำจัดขยะ</t>
  </si>
  <si>
    <t>ล้างตลาด</t>
  </si>
  <si>
    <t>กำจัดน้ำท่วมขัง</t>
  </si>
  <si>
    <t>ฟื้นฟูระบบประปา</t>
  </si>
  <si>
    <t>กำจัดพาหะนำโรค</t>
  </si>
  <si>
    <t>หน่วยแพทย์ การรักษาพยาบาลโรคทางกาย</t>
  </si>
  <si>
    <t>รวมทั้งสิ้น</t>
  </si>
  <si>
    <t>5  ประชาชนได้รับผลกระทบ (สะสมถึงวันนี้)</t>
  </si>
  <si>
    <t xml:space="preserve">6.  การช่วยเหลือประชาชนด้านสาธารณสุข </t>
  </si>
  <si>
    <t>6.1     การให้บริการรักษาพยาบาล</t>
  </si>
  <si>
    <t>6.1.1  การออกหน่วยแพทย์เคลื่อนที่</t>
  </si>
  <si>
    <t>6.1.2 โรคที่พบจากการออกหน่วยแพทย์เคลื่อนที่</t>
  </si>
  <si>
    <t>6.1.4 ปัญหาสุขภาพจิต</t>
  </si>
  <si>
    <t xml:space="preserve">     2. ให้การรักษาด้วยยา</t>
  </si>
  <si>
    <t xml:space="preserve">     3. ให้ความรู้ด้านสุขภาพจิต เช่น วิธีคลายเครียด ,ภาวะซึมเศร้า</t>
  </si>
  <si>
    <t>6.1.6 การบริการสุขาภิบาลและป้องกันโรค</t>
  </si>
  <si>
    <t>6.1.7 ความต้องการสนับสนุนยาและเวชภัณฑ์</t>
  </si>
  <si>
    <t>แบบ รง.อุทกภัย(ฉบับแก้ไข)</t>
  </si>
  <si>
    <t>......... ตำบล</t>
  </si>
  <si>
    <t>2. เปิดบริการได้บางส่วน</t>
  </si>
  <si>
    <t>กลุ่มเป้าหมาย</t>
  </si>
  <si>
    <t>ทั้งหมด</t>
  </si>
  <si>
    <t>ได้รับผลกระทบ</t>
  </si>
  <si>
    <t>ได้รับการติดตาม/เยี่ยมบ้าน</t>
  </si>
  <si>
    <t>ทั้งหมด(จำนวน)</t>
  </si>
  <si>
    <t>ได้รับผลกระทบ(จำนวน)</t>
  </si>
  <si>
    <t>บาดเจ็บ</t>
  </si>
  <si>
    <t>ตาย</t>
  </si>
  <si>
    <t>สะแกกรัง</t>
  </si>
  <si>
    <t>เนินแจง</t>
  </si>
  <si>
    <t>น้ำซึม</t>
  </si>
  <si>
    <t>อุทัยใหม่</t>
  </si>
  <si>
    <t>หนองไผ่แบน</t>
  </si>
  <si>
    <t>หาดทนง</t>
  </si>
  <si>
    <t>ดอนขวาง</t>
  </si>
  <si>
    <r>
      <t xml:space="preserve">1,2,3,4,5,6 </t>
    </r>
    <r>
      <rPr>
        <sz val="11"/>
        <rFont val="Angsana New"/>
        <family val="1"/>
      </rPr>
      <t>(ทุกหมู่)</t>
    </r>
  </si>
  <si>
    <r>
      <t>1,2,3,4,5,6,7,8</t>
    </r>
    <r>
      <rPr>
        <sz val="8"/>
        <rFont val="Angsana New"/>
        <family val="1"/>
      </rPr>
      <t>(ทุกหมู่)</t>
    </r>
  </si>
  <si>
    <r>
      <t>1,2,3,4,5,6,7,8</t>
    </r>
    <r>
      <rPr>
        <sz val="9"/>
        <rFont val="Angsana New"/>
        <family val="1"/>
      </rPr>
      <t>(ทุกหมู่)</t>
    </r>
  </si>
  <si>
    <t>จมน้ำเสียชีวิต</t>
  </si>
  <si>
    <t>รพ.สต.หนองไผ่แบน</t>
  </si>
  <si>
    <t>บ้านและครอบครัวได้รับผลกระทบ</t>
  </si>
  <si>
    <t>หลัง</t>
  </si>
  <si>
    <t>รวม</t>
  </si>
  <si>
    <t>1. อุจจาระร่วง</t>
  </si>
  <si>
    <t>ผู้สูงอายุ</t>
  </si>
  <si>
    <t>ผู้ชรา (อายุ 100 ปีขึ้นไป)</t>
  </si>
  <si>
    <t>ผู้พิการ</t>
  </si>
  <si>
    <t>ผู้ป่วยเบาหวาน/ความดันโลหิตสูง</t>
  </si>
  <si>
    <t>ผู้ป่วยโรคเรื้อรังอื่นๆ</t>
  </si>
  <si>
    <t>ผู้ป่วยสุขภาพจิต</t>
  </si>
  <si>
    <t>รพ.สต.น้ำซึม</t>
  </si>
  <si>
    <t>........ ตำบล</t>
  </si>
  <si>
    <t xml:space="preserve">  สำนักงานสาธารณสุขจังหวัดอุทัยธานี      เขตตรวจราชการที่ 18       </t>
  </si>
  <si>
    <t>หนองขาหย่าง</t>
  </si>
  <si>
    <t>หลุมเข้า</t>
  </si>
  <si>
    <t>สสจ.อุทัยธานี</t>
  </si>
  <si>
    <t>มือถือ 08-1887-7052</t>
  </si>
  <si>
    <t xml:space="preserve">   10   ตำบล</t>
  </si>
  <si>
    <t>1,2,4,6,7</t>
  </si>
  <si>
    <t xml:space="preserve"> 1-12,14,15 </t>
  </si>
  <si>
    <t>อ.หนองขาหย่าง</t>
  </si>
  <si>
    <t>อ.เมืองฯ</t>
  </si>
  <si>
    <t xml:space="preserve">ท่าซุง  </t>
  </si>
  <si>
    <t>รพ.สต.เกาะเทโพ</t>
  </si>
  <si>
    <t>2. ไข้หวัด</t>
  </si>
  <si>
    <t>1. ปวดกล้ามเนื้อ</t>
  </si>
  <si>
    <t>3.ความดันโลหิตสูง</t>
  </si>
  <si>
    <t xml:space="preserve">     95   แห่ง</t>
  </si>
  <si>
    <t>รพ.อุทัยธานี</t>
  </si>
  <si>
    <t>รพ.สต.หลุมเข้า</t>
  </si>
  <si>
    <t xml:space="preserve">3  บุคลากรสาธารณสุขที่ได้รับผลกระทบ (จำนวนคน) </t>
  </si>
  <si>
    <t xml:space="preserve">4  อสม. ที่ได้รับผลกระทบ (จำนวนคน) </t>
  </si>
  <si>
    <t>รพ.สต.ท่าซุง</t>
  </si>
  <si>
    <t>น้ำท่วมขังบริเวณสนามด้านหน้าฒด้านข้าง ระเบียง/พื้นชั้นล่างอาคารสถานีอนามัย , บ้านพักชั้นล่าง ศูนย์เรียนรู้ไข้เลือดออก ,กระเบื้องมุงหลังคาโรงจอดรถแตกเนื่องจากลมพัดกิ่งไม้หักหล่นใส่ และเตาเผาขยะไม่สามารถใช้งานได้</t>
  </si>
  <si>
    <t xml:space="preserve">   .....1.............  แห่ง</t>
  </si>
  <si>
    <t xml:space="preserve">   ......2...........  แห่ง</t>
  </si>
  <si>
    <t>ได้แก่....1.รพ.สต.เกาะเทโพ  เปิดให้บริการรักษาพยาบาลชั้นบนอาคาร</t>
  </si>
  <si>
    <t>ได้แก่  1. รพ.สต.ท่าซุง เปิดให้บริการที่ถนนหน้าร้าอาหารศาลาโค๊ก ม.2 ต.ท่าซุง</t>
  </si>
  <si>
    <t xml:space="preserve">           2. สอ.หาดทนง เปิดให้บริการบริเวณถนน้านผู้ใหญ่บ้าน ม. 3     ต.หาดทนง</t>
  </si>
  <si>
    <t>รพ.สต.เนินแจง</t>
  </si>
  <si>
    <t>สอ.หาดทนง</t>
  </si>
  <si>
    <t>อยู่ระหว่างการสำรวจ</t>
  </si>
  <si>
    <t>รพ.สต.ดอนขวาง</t>
  </si>
  <si>
    <t>3. ตาแดง</t>
  </si>
  <si>
    <t>รพ.สต.สะแกกรัง</t>
  </si>
  <si>
    <t>2.ปวดศีรษะ</t>
  </si>
  <si>
    <t>6.1.3 การให้บริการผู้สูงอายุ /ผู้พิการ/ผู้ป่วยโรคเรื้อรัง (ข้อมูลสะสม)</t>
  </si>
  <si>
    <t>น้ำท่วมพื้นชั้นล่างน้ำสูงประมาณ 50  ซม.</t>
  </si>
  <si>
    <t>ระดับน้ำ</t>
  </si>
  <si>
    <t>100-500 ซม.</t>
  </si>
  <si>
    <t xml:space="preserve">                      19 จุด                                                   3  จุด</t>
  </si>
  <si>
    <t>ม.3 , ม.5 ต.หาดทนง</t>
  </si>
  <si>
    <t>ม.2,3,4,5 ต.น้ำซึม</t>
  </si>
  <si>
    <t>สถานบริการ</t>
  </si>
  <si>
    <t>ร้อยละ</t>
  </si>
  <si>
    <t>หลุมเข้า อ.หนองขาหย่าง</t>
  </si>
  <si>
    <t>ผู้ป่วยจิตเวช</t>
  </si>
  <si>
    <t>1,2,3</t>
  </si>
  <si>
    <t>30-250 ซม.</t>
  </si>
  <si>
    <t>20-300ซม.</t>
  </si>
  <si>
    <t>ม.1-ม.6 ต.หาดทนง   ม.1,2 ,6 ต.น้ำซึม</t>
  </si>
  <si>
    <t>100-500ซม.</t>
  </si>
  <si>
    <t>อ.สว่างอารมณ์</t>
  </si>
  <si>
    <t>อ.บ้านไร่</t>
  </si>
  <si>
    <t>อ.ห้วยคต</t>
  </si>
  <si>
    <t>อ.หนองฉาง</t>
  </si>
  <si>
    <t>อ.ลานสัก</t>
  </si>
  <si>
    <t>10-110ซม.</t>
  </si>
  <si>
    <t>อ.ทัพทัน</t>
  </si>
  <si>
    <t>4  ราย</t>
  </si>
  <si>
    <t>หญิงตั้งครรภ์</t>
  </si>
  <si>
    <t>เด็ก 0-5 ปี</t>
  </si>
  <si>
    <t>2,3</t>
  </si>
  <si>
    <t>หาดทนง    ราย</t>
  </si>
  <si>
    <t>จุดอพยพ</t>
  </si>
  <si>
    <t>จำนวนครอบครัว</t>
  </si>
  <si>
    <t>อำเภอ</t>
  </si>
  <si>
    <t>ประชาชนตั้งเต้นที่พักอาศัยบนถนน ตั้งอต่หน้าวัดท่าซุง จนถึงแพขนานยนต์</t>
  </si>
  <si>
    <t>โรงยิมสนามกีฬา</t>
  </si>
  <si>
    <t>85-250 ซม.</t>
  </si>
  <si>
    <t>ผลการปรเมินสุขภาพจิตในผู้ประสบอุทกภัย จ. อุทัยธานี ปี 2554</t>
  </si>
  <si>
    <t>ข้อมูลถึง 29 ก.ย.54</t>
  </si>
  <si>
    <t>PTSD</t>
  </si>
  <si>
    <t xml:space="preserve">      การให้คำปรึกษาเบื้องต้น</t>
  </si>
  <si>
    <t xml:space="preserve">   ให้การรักษาด้วยยา</t>
  </si>
  <si>
    <t xml:space="preserve">  ให้ความรู้สุขภาพจิต </t>
  </si>
  <si>
    <t>ข้อมูลถึง 30 ก.ย.54</t>
  </si>
  <si>
    <t>ข้อมูลถึง 2 ต.ค.54</t>
  </si>
  <si>
    <t>ข้อมูลถึง 4 ต.ค.54</t>
  </si>
  <si>
    <t>ข้อมูลถึง 5 ต.ค.54</t>
  </si>
  <si>
    <t>ผลการปรtเมินสุขภาพจิตในผู้ประสบอุทกภัย จ. อุทัยธานี ปี 2554</t>
  </si>
  <si>
    <t>ให้คำปรึกษา</t>
  </si>
  <si>
    <t>1,3,4,5,6,7,8</t>
  </si>
  <si>
    <t>ศูนย์พัฒนาฝีมือแรงงาน</t>
  </si>
  <si>
    <t>120-220 วม.</t>
  </si>
  <si>
    <t>สะแกกรัง     ราย</t>
  </si>
  <si>
    <t>6  ราย  (ต.เกาะเทโพ 2  ราย  ต.หาดทนง  2 ราย ต.อุทัยใหม่  1  ราย ต.สะแกกรัง  1  ราย)</t>
  </si>
  <si>
    <t>ผู้สูงอายุ (ธงสีม่วง)</t>
  </si>
  <si>
    <t>ผู้ป่วยเบาหวาน/ความดันโลหิตสูง (ธงสีแดง)</t>
  </si>
  <si>
    <t>ผู้พิการ (ธงสีส้ม)</t>
  </si>
  <si>
    <t>ผู้ป่วยโรคเรื้อรังอื่น ๆ (ธงสีขาว)</t>
  </si>
  <si>
    <t>เด็ก 0-5 ปี (ธงสีเขียว )</t>
  </si>
  <si>
    <t>หญิงตั้งครรภ์ (ธงสีน้ำเงิน)</t>
  </si>
  <si>
    <t>๑. เสื้อชูชีพ จำนวน ๒,๑๐๐  ตัว</t>
  </si>
  <si>
    <t>๒. รองเท้าบู๊ท  จำนวน  ๑,๐๐๐  คู่</t>
  </si>
  <si>
    <t>๓. ถุงดำขนาดเล็ก(๑๘x๒๐ นิ้ว)  จำนวน ๑,๐๐๐  แพ๊ค</t>
  </si>
  <si>
    <t>๔. ถุงดำขนาดใหญ่  จำนวน ๕๐,๐๐๐  ใบ</t>
  </si>
  <si>
    <t xml:space="preserve">๕. คลอรีนน้ำ(หยดทิพย์)  จำนวน  ๔๐๐ ขวด  </t>
  </si>
  <si>
    <t>๖. สารส้ม จำนวน ๑,๒๐๐  กก.</t>
  </si>
  <si>
    <t>๗. คลอรีนผง  (๔๕๐ กรัม/กระป๋อง)   จำนวน  ๓๐๐  กระป๋อง</t>
  </si>
  <si>
    <t>๘. ปูนขาว ถุงละ ๕  กก. จำนวน ๕๐  ถุง</t>
  </si>
  <si>
    <t>๙. คลอรีนผง  (๔๐ กก./ถัง)  จำนวน  ๕  ถัง</t>
  </si>
  <si>
    <t>๑๐. สารส้ม (๓๐ กก./ถุง)  จำนวน  ๕๐  ถุง</t>
  </si>
  <si>
    <t>๑๑. โซดาไฟ (๑ กก./ถุง)  จำนวน  ๓๐๐  ถุง</t>
  </si>
  <si>
    <t>๑๒. EM (๕ ลิตร/แกลลอน)  จำนวน  ๒๐  แกลลอน</t>
  </si>
  <si>
    <t>นางสุรีรัตน์  ตุลยวณิชย์</t>
  </si>
  <si>
    <t>นักวิชาการสาธารณสุขชำนาญการ</t>
  </si>
  <si>
    <t>ข้อมูลถึง 6 ต.ค.54</t>
  </si>
  <si>
    <t>80-215ซม.</t>
  </si>
  <si>
    <t>21 ราย(ผู้ป่วยโรคเรื้อรัง ,จิตเวช,หญิงมีครรภ์,เด็ก,ผู้สูงอายุ,ไข้สูงชัก)</t>
  </si>
  <si>
    <t xml:space="preserve">๑๓. สำลี </t>
  </si>
  <si>
    <t xml:space="preserve">๑๔. ยาช่วยเหลือผู้ประสบอุทกภัย  </t>
  </si>
  <si>
    <t xml:space="preserve">๑๕. ยาคลายกล้ามเนื้อ  </t>
  </si>
  <si>
    <t xml:space="preserve">๑๖. ยาใส่แผลสด/เปื่อย  </t>
  </si>
  <si>
    <t xml:space="preserve">๑๗. ยาน้ำกัดเท้า  </t>
  </si>
  <si>
    <t xml:space="preserve">๑๘. ยากันยุง  </t>
  </si>
  <si>
    <t xml:space="preserve">19. น้ำมันหอมระเหย </t>
  </si>
  <si>
    <t>4.น้ำกัดเท้า</t>
  </si>
  <si>
    <t>5.ปวดท้อง</t>
  </si>
  <si>
    <t xml:space="preserve">6.ผื่นคัน  </t>
  </si>
  <si>
    <t>8.วิงเวียนศีรษะ</t>
  </si>
  <si>
    <t>9.ทำแผล</t>
  </si>
  <si>
    <t>10.เครียด</t>
  </si>
  <si>
    <t>6.กระเพาะ</t>
  </si>
  <si>
    <t>เกาะเทโพ      ราย</t>
  </si>
  <si>
    <t>น้ำซึม    รา ย</t>
  </si>
  <si>
    <t>ข้อมูลถึง 8 ต.ค.54</t>
  </si>
  <si>
    <t>หนองไผ่แบน  ราย</t>
  </si>
  <si>
    <t>10-500 ซม.</t>
  </si>
  <si>
    <t>11. ซีด</t>
  </si>
  <si>
    <t>NA</t>
  </si>
  <si>
    <t>วัดสังกัสรัตนคีรี</t>
  </si>
  <si>
    <t>สะแกกรัง,หาดทนง</t>
  </si>
  <si>
    <t>น้ำซึม , ท่าซุง</t>
  </si>
  <si>
    <t>โรงเรียนพุทธมงคล</t>
  </si>
  <si>
    <t>กองร้อยอาสา</t>
  </si>
  <si>
    <t>ข้อมูลถึง 9 ต.ค.54</t>
  </si>
  <si>
    <t>ข้อมูลถึง 10 ต.ค.54</t>
  </si>
  <si>
    <t>10ต.ค.54</t>
  </si>
  <si>
    <t>2,3,4,6</t>
  </si>
  <si>
    <t>7.วิตกกังวล/นอนไม่หลับ</t>
  </si>
  <si>
    <t>ข้อมูลถึง 11 ต.ค.54</t>
  </si>
  <si>
    <r>
      <t>ข้อมูล  วันที่  12</t>
    </r>
    <r>
      <rPr>
        <b/>
        <sz val="16"/>
        <color indexed="12"/>
        <rFont val="Angsana New"/>
        <family val="1"/>
      </rPr>
      <t xml:space="preserve"> ตุลาคม  2554</t>
    </r>
  </si>
  <si>
    <t>ถูกของมีคมในน้ำบาด50ราย , อุบัติเหตุจากการขนย้ายของ 53 ราย,ไฟฟ้าช๊อต 1 ราย</t>
  </si>
  <si>
    <t xml:space="preserve">  104 ราย</t>
  </si>
  <si>
    <t>ข้อมูลถึง 12 ต.ค.54</t>
  </si>
  <si>
    <t>ท่าซุง   38 ราย</t>
  </si>
  <si>
    <t>เนินแจง     ราย</t>
  </si>
  <si>
    <t>ดอนขวาง  78   ราย</t>
  </si>
  <si>
    <t>อุทัยใหม่   75 ราย</t>
  </si>
  <si>
    <t>หลุมเข้า   30  ราย</t>
  </si>
  <si>
    <t>221 ราย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</si>
</sst>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 &quot;#,##0;\-&quot; &quot;#,##0"/>
    <numFmt numFmtId="200" formatCode="&quot; &quot;#,##0;[Red]\-&quot; &quot;#,##0"/>
    <numFmt numFmtId="201" formatCode="&quot; &quot;#,##0.00;\-&quot; &quot;#,##0.00"/>
    <numFmt numFmtId="202" formatCode="&quot; &quot;#,##0.00;[Red]\-&quot; &quot;#,##0.00"/>
    <numFmt numFmtId="203" formatCode="_-&quot; &quot;* #,##0_-;\-&quot; &quot;* #,##0_-;_-&quot; &quot;* &quot;-&quot;_-;_-@_-"/>
    <numFmt numFmtId="204" formatCode="_-&quot; &quot;* #,##0.00_-;\-&quot; &quot;* #,##0.00_-;_-&quot; &quot;* &quot;-&quot;??_-;_-@_-"/>
    <numFmt numFmtId="205" formatCode="t&quot; &quot;#,##0_);\(t&quot; &quot;#,##0\)"/>
    <numFmt numFmtId="206" formatCode="t&quot; &quot;#,##0_);[Red]\(t&quot; &quot;#,##0\)"/>
    <numFmt numFmtId="207" formatCode="t&quot; &quot;#,##0.00_);\(t&quot; &quot;#,##0.00\)"/>
    <numFmt numFmtId="208" formatCode="t&quot; &quot;#,##0.00_);[Red]\(t&quot; &quot;#,##0.00\)"/>
    <numFmt numFmtId="209" formatCode="[$-107041E]d&quot; &quot;mmmm&quot; &quot;yyyy;@"/>
    <numFmt numFmtId="210" formatCode="_-* #,##0.0_-;\-* #,##0.0_-;_-* &quot;-&quot;??_-;_-@_-"/>
    <numFmt numFmtId="211" formatCode="_-* #,##0_-;\-* #,##0_-;_-* &quot;-&quot;??_-;_-@_-"/>
    <numFmt numFmtId="212" formatCode="&quot;ใช่&quot;;&quot;ใช่&quot;;&quot;ไม่ใช่&quot;"/>
    <numFmt numFmtId="213" formatCode="&quot;จริง&quot;;&quot;จริง&quot;;&quot;เท็จ&quot;"/>
    <numFmt numFmtId="214" formatCode="&quot;เปิด&quot;;&quot;เปิด&quot;;&quot;ปิด&quot;"/>
    <numFmt numFmtId="215" formatCode="[$€-2]\ #,##0.00_);[Red]\([$€-2]\ #,##0.00\)"/>
    <numFmt numFmtId="216" formatCode="0.000"/>
    <numFmt numFmtId="217" formatCode="0.0"/>
    <numFmt numFmtId="218" formatCode="0.00000"/>
    <numFmt numFmtId="219" formatCode="0.0000"/>
  </numFmts>
  <fonts count="59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b/>
      <sz val="16"/>
      <color indexed="8"/>
      <name val="Angsana New"/>
      <family val="1"/>
    </font>
    <font>
      <sz val="16"/>
      <color indexed="8"/>
      <name val="Angsana New"/>
      <family val="1"/>
    </font>
    <font>
      <b/>
      <sz val="15"/>
      <name val="Angsana New"/>
      <family val="1"/>
    </font>
    <font>
      <sz val="15"/>
      <name val="Angsana New"/>
      <family val="1"/>
    </font>
    <font>
      <b/>
      <sz val="16"/>
      <color indexed="12"/>
      <name val="Angsana New"/>
      <family val="1"/>
    </font>
    <font>
      <sz val="11"/>
      <name val="Angsana New"/>
      <family val="1"/>
    </font>
    <font>
      <sz val="8"/>
      <name val="Angsana New"/>
      <family val="1"/>
    </font>
    <font>
      <sz val="9"/>
      <name val="Angsana New"/>
      <family val="1"/>
    </font>
    <font>
      <b/>
      <sz val="16"/>
      <color indexed="10"/>
      <name val="Angsana New"/>
      <family val="1"/>
    </font>
    <font>
      <sz val="13"/>
      <name val="Angsana New"/>
      <family val="1"/>
    </font>
    <font>
      <b/>
      <sz val="13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0"/>
      <name val="Angsana New"/>
      <family val="1"/>
    </font>
    <font>
      <b/>
      <sz val="10"/>
      <name val="Arial"/>
      <family val="2"/>
    </font>
    <font>
      <sz val="8"/>
      <name val="Arial"/>
      <family val="0"/>
    </font>
    <font>
      <b/>
      <sz val="18"/>
      <name val="Angsana New"/>
      <family val="1"/>
    </font>
    <font>
      <sz val="18"/>
      <name val="Angsana New"/>
      <family val="1"/>
    </font>
    <font>
      <sz val="16"/>
      <name val="TH SarabunPSK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8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Continuous" vertical="top" wrapText="1"/>
    </xf>
    <xf numFmtId="0" fontId="1" fillId="0" borderId="17" xfId="0" applyFont="1" applyFill="1" applyBorder="1" applyAlignment="1">
      <alignment horizontal="centerContinuous" vertical="top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/>
    </xf>
    <xf numFmtId="211" fontId="1" fillId="0" borderId="11" xfId="42" applyNumberFormat="1" applyFont="1" applyFill="1" applyBorder="1" applyAlignment="1">
      <alignment horizontal="center" vertical="top" wrapText="1"/>
    </xf>
    <xf numFmtId="211" fontId="1" fillId="0" borderId="11" xfId="42" applyNumberFormat="1" applyFont="1" applyFill="1" applyBorder="1" applyAlignment="1">
      <alignment horizontal="center"/>
    </xf>
    <xf numFmtId="211" fontId="1" fillId="0" borderId="11" xfId="42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left"/>
    </xf>
    <xf numFmtId="0" fontId="1" fillId="0" borderId="18" xfId="0" applyFont="1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vertical="top"/>
    </xf>
    <xf numFmtId="0" fontId="1" fillId="0" borderId="11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/>
    </xf>
    <xf numFmtId="211" fontId="1" fillId="0" borderId="11" xfId="42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3" fontId="1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horizontal="centerContinuous" vertical="center" wrapText="1"/>
    </xf>
    <xf numFmtId="3" fontId="1" fillId="0" borderId="11" xfId="0" applyNumberFormat="1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/>
    </xf>
    <xf numFmtId="0" fontId="1" fillId="0" borderId="19" xfId="0" applyFont="1" applyFill="1" applyBorder="1" applyAlignment="1">
      <alignment/>
    </xf>
    <xf numFmtId="0" fontId="1" fillId="0" borderId="11" xfId="0" applyFont="1" applyFill="1" applyBorder="1" applyAlignment="1">
      <alignment horizontal="centerContinuous" vertical="center"/>
    </xf>
    <xf numFmtId="0" fontId="1" fillId="0" borderId="11" xfId="0" applyFont="1" applyFill="1" applyBorder="1" applyAlignment="1">
      <alignment vertical="top" wrapText="1"/>
    </xf>
    <xf numFmtId="3" fontId="1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1" fillId="0" borderId="19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Continuous" vertical="top" wrapText="1"/>
    </xf>
    <xf numFmtId="0" fontId="1" fillId="0" borderId="17" xfId="0" applyFont="1" applyFill="1" applyBorder="1" applyAlignment="1">
      <alignment horizontal="centerContinuous"/>
    </xf>
    <xf numFmtId="209" fontId="6" fillId="0" borderId="11" xfId="0" applyNumberFormat="1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centerContinuous" vertical="center"/>
    </xf>
    <xf numFmtId="0" fontId="16" fillId="0" borderId="12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" fillId="33" borderId="11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11" xfId="0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20" fillId="33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top"/>
    </xf>
    <xf numFmtId="0" fontId="20" fillId="0" borderId="11" xfId="0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" fillId="33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09" fontId="6" fillId="0" borderId="0" xfId="0" applyNumberFormat="1" applyFont="1" applyFill="1" applyBorder="1" applyAlignment="1">
      <alignment horizontal="left" vertical="top" wrapText="1"/>
    </xf>
    <xf numFmtId="15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 vertical="top" wrapText="1"/>
    </xf>
    <xf numFmtId="0" fontId="22" fillId="0" borderId="0" xfId="0" applyFont="1" applyFill="1" applyAlignment="1">
      <alignment vertical="top"/>
    </xf>
    <xf numFmtId="0" fontId="23" fillId="0" borderId="0" xfId="0" applyFont="1" applyAlignment="1">
      <alignment/>
    </xf>
    <xf numFmtId="72" fontId="23" fillId="0" borderId="0" xfId="0" applyNumberFormat="1" applyFont="1" applyAlignment="1">
      <alignment/>
    </xf>
    <xf numFmtId="0" fontId="23" fillId="0" borderId="20" xfId="0" applyFont="1" applyFill="1" applyBorder="1" applyAlignment="1">
      <alignment horizontal="center" vertical="top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Fill="1" applyBorder="1" applyAlignment="1">
      <alignment vertical="top"/>
    </xf>
    <xf numFmtId="59" fontId="23" fillId="0" borderId="23" xfId="0" applyNumberFormat="1" applyFont="1" applyBorder="1" applyAlignment="1">
      <alignment horizontal="center" vertical="top" wrapText="1"/>
    </xf>
    <xf numFmtId="2" fontId="23" fillId="0" borderId="23" xfId="0" applyNumberFormat="1" applyFont="1" applyBorder="1" applyAlignment="1">
      <alignment horizontal="center" vertical="top" wrapText="1"/>
    </xf>
    <xf numFmtId="0" fontId="23" fillId="0" borderId="22" xfId="0" applyFont="1" applyFill="1" applyBorder="1" applyAlignment="1">
      <alignment/>
    </xf>
    <xf numFmtId="59" fontId="23" fillId="0" borderId="23" xfId="0" applyNumberFormat="1" applyFont="1" applyBorder="1" applyAlignment="1">
      <alignment horizontal="center" wrapText="1"/>
    </xf>
    <xf numFmtId="59" fontId="24" fillId="0" borderId="23" xfId="0" applyNumberFormat="1" applyFont="1" applyBorder="1" applyAlignment="1">
      <alignment horizontal="center" wrapText="1"/>
    </xf>
    <xf numFmtId="0" fontId="23" fillId="33" borderId="22" xfId="0" applyFont="1" applyFill="1" applyBorder="1" applyAlignment="1">
      <alignment vertical="top"/>
    </xf>
    <xf numFmtId="3" fontId="23" fillId="0" borderId="23" xfId="0" applyNumberFormat="1" applyFont="1" applyBorder="1" applyAlignment="1">
      <alignment horizontal="center" vertical="top" wrapText="1"/>
    </xf>
    <xf numFmtId="3" fontId="23" fillId="0" borderId="23" xfId="0" applyNumberFormat="1" applyFont="1" applyBorder="1" applyAlignment="1">
      <alignment horizontal="center" wrapText="1"/>
    </xf>
    <xf numFmtId="3" fontId="24" fillId="0" borderId="23" xfId="0" applyNumberFormat="1" applyFont="1" applyBorder="1" applyAlignment="1">
      <alignment horizontal="center" wrapText="1"/>
    </xf>
    <xf numFmtId="0" fontId="23" fillId="0" borderId="22" xfId="0" applyFont="1" applyFill="1" applyBorder="1" applyAlignment="1">
      <alignment horizontal="center" vertical="top"/>
    </xf>
    <xf numFmtId="0" fontId="22" fillId="0" borderId="0" xfId="0" applyFont="1" applyFill="1" applyAlignment="1">
      <alignment/>
    </xf>
    <xf numFmtId="0" fontId="23" fillId="0" borderId="20" xfId="0" applyFont="1" applyFill="1" applyBorder="1" applyAlignment="1">
      <alignment horizontal="center"/>
    </xf>
    <xf numFmtId="0" fontId="23" fillId="0" borderId="21" xfId="0" applyFont="1" applyBorder="1" applyAlignment="1">
      <alignment horizontal="center" wrapText="1"/>
    </xf>
    <xf numFmtId="59" fontId="24" fillId="0" borderId="23" xfId="0" applyNumberFormat="1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wrapText="1"/>
    </xf>
    <xf numFmtId="0" fontId="24" fillId="0" borderId="23" xfId="0" applyFont="1" applyBorder="1" applyAlignment="1">
      <alignment horizontal="center" wrapText="1"/>
    </xf>
    <xf numFmtId="0" fontId="22" fillId="0" borderId="0" xfId="0" applyFont="1" applyFill="1" applyAlignment="1">
      <alignment vertical="center"/>
    </xf>
    <xf numFmtId="0" fontId="23" fillId="0" borderId="23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/>
    </xf>
    <xf numFmtId="3" fontId="23" fillId="0" borderId="0" xfId="0" applyNumberFormat="1" applyFont="1" applyBorder="1" applyAlignment="1">
      <alignment horizontal="center" vertical="top" wrapText="1"/>
    </xf>
    <xf numFmtId="2" fontId="23" fillId="0" borderId="0" xfId="0" applyNumberFormat="1" applyFont="1" applyBorder="1" applyAlignment="1">
      <alignment horizontal="center" vertical="top" wrapText="1"/>
    </xf>
    <xf numFmtId="60" fontId="23" fillId="0" borderId="23" xfId="0" applyNumberFormat="1" applyFont="1" applyBorder="1" applyAlignment="1">
      <alignment horizontal="center" vertical="top" wrapText="1"/>
    </xf>
    <xf numFmtId="0" fontId="23" fillId="0" borderId="0" xfId="0" applyFont="1" applyFill="1" applyAlignment="1">
      <alignment/>
    </xf>
    <xf numFmtId="0" fontId="23" fillId="33" borderId="22" xfId="0" applyFont="1" applyFill="1" applyBorder="1" applyAlignment="1">
      <alignment/>
    </xf>
    <xf numFmtId="0" fontId="19" fillId="0" borderId="11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21" fillId="0" borderId="24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15" fontId="6" fillId="0" borderId="11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/>
    </xf>
    <xf numFmtId="0" fontId="1" fillId="0" borderId="12" xfId="0" applyFont="1" applyFill="1" applyBorder="1" applyAlignment="1">
      <alignment vertical="top"/>
    </xf>
    <xf numFmtId="0" fontId="1" fillId="0" borderId="10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1" fillId="0" borderId="18" xfId="0" applyFont="1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top" wrapText="1"/>
    </xf>
    <xf numFmtId="0" fontId="1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4</xdr:row>
      <xdr:rowOff>66675</xdr:rowOff>
    </xdr:from>
    <xdr:to>
      <xdr:col>1</xdr:col>
      <xdr:colOff>542925</xdr:colOff>
      <xdr:row>4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1847850" y="1247775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6</xdr:row>
      <xdr:rowOff>76200</xdr:rowOff>
    </xdr:from>
    <xdr:to>
      <xdr:col>0</xdr:col>
      <xdr:colOff>295275</xdr:colOff>
      <xdr:row>6</xdr:row>
      <xdr:rowOff>238125</xdr:rowOff>
    </xdr:to>
    <xdr:sp>
      <xdr:nvSpPr>
        <xdr:cNvPr id="2" name="Rectangle 2"/>
        <xdr:cNvSpPr>
          <a:spLocks/>
        </xdr:cNvSpPr>
      </xdr:nvSpPr>
      <xdr:spPr>
        <a:xfrm>
          <a:off x="133350" y="1847850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5</xdr:row>
      <xdr:rowOff>66675</xdr:rowOff>
    </xdr:from>
    <xdr:to>
      <xdr:col>0</xdr:col>
      <xdr:colOff>285750</xdr:colOff>
      <xdr:row>5</xdr:row>
      <xdr:rowOff>228600</xdr:rowOff>
    </xdr:to>
    <xdr:sp>
      <xdr:nvSpPr>
        <xdr:cNvPr id="3" name="Rectangle 3"/>
        <xdr:cNvSpPr>
          <a:spLocks/>
        </xdr:cNvSpPr>
      </xdr:nvSpPr>
      <xdr:spPr>
        <a:xfrm>
          <a:off x="123825" y="1543050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</xdr:row>
      <xdr:rowOff>66675</xdr:rowOff>
    </xdr:from>
    <xdr:to>
      <xdr:col>2</xdr:col>
      <xdr:colOff>209550</xdr:colOff>
      <xdr:row>5</xdr:row>
      <xdr:rowOff>228600</xdr:rowOff>
    </xdr:to>
    <xdr:sp>
      <xdr:nvSpPr>
        <xdr:cNvPr id="4" name="Rectangle 4"/>
        <xdr:cNvSpPr>
          <a:spLocks/>
        </xdr:cNvSpPr>
      </xdr:nvSpPr>
      <xdr:spPr>
        <a:xfrm>
          <a:off x="2514600" y="1543050"/>
          <a:ext cx="161925" cy="161925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6</xdr:row>
      <xdr:rowOff>66675</xdr:rowOff>
    </xdr:from>
    <xdr:to>
      <xdr:col>2</xdr:col>
      <xdr:colOff>219075</xdr:colOff>
      <xdr:row>6</xdr:row>
      <xdr:rowOff>228600</xdr:rowOff>
    </xdr:to>
    <xdr:sp>
      <xdr:nvSpPr>
        <xdr:cNvPr id="5" name="Rectangle 5"/>
        <xdr:cNvSpPr>
          <a:spLocks/>
        </xdr:cNvSpPr>
      </xdr:nvSpPr>
      <xdr:spPr>
        <a:xfrm>
          <a:off x="2524125" y="1838325"/>
          <a:ext cx="1619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4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22.00390625" style="12" customWidth="1"/>
    <col min="2" max="2" width="15.00390625" style="12" customWidth="1"/>
    <col min="3" max="3" width="19.00390625" style="12" customWidth="1"/>
    <col min="4" max="4" width="18.57421875" style="12" customWidth="1"/>
    <col min="5" max="5" width="16.00390625" style="12" customWidth="1"/>
    <col min="6" max="6" width="13.00390625" style="12" customWidth="1"/>
    <col min="7" max="7" width="11.28125" style="12" customWidth="1"/>
    <col min="8" max="8" width="13.421875" style="12" customWidth="1"/>
    <col min="9" max="9" width="14.28125" style="12" customWidth="1"/>
    <col min="10" max="16384" width="9.140625" style="12" customWidth="1"/>
  </cols>
  <sheetData>
    <row r="1" spans="5:6" ht="23.25">
      <c r="E1" s="170" t="s">
        <v>63</v>
      </c>
      <c r="F1" s="170"/>
    </row>
    <row r="2" spans="1:6" ht="23.25">
      <c r="A2" s="170" t="s">
        <v>22</v>
      </c>
      <c r="B2" s="170"/>
      <c r="C2" s="170"/>
      <c r="D2" s="170"/>
      <c r="E2" s="170"/>
      <c r="F2" s="170"/>
    </row>
    <row r="3" spans="1:6" ht="23.25">
      <c r="A3" s="170" t="s">
        <v>98</v>
      </c>
      <c r="B3" s="170"/>
      <c r="C3" s="170"/>
      <c r="D3" s="170"/>
      <c r="E3" s="170"/>
      <c r="F3" s="170"/>
    </row>
    <row r="4" spans="1:6" ht="23.25">
      <c r="A4" s="170" t="s">
        <v>238</v>
      </c>
      <c r="B4" s="170"/>
      <c r="C4" s="170"/>
      <c r="D4" s="170"/>
      <c r="E4" s="170"/>
      <c r="F4" s="170"/>
    </row>
    <row r="5" ht="23.25">
      <c r="A5" s="52" t="s">
        <v>27</v>
      </c>
    </row>
    <row r="6" spans="1:4" ht="23.25">
      <c r="A6" s="12" t="s">
        <v>19</v>
      </c>
      <c r="B6" s="40" t="s">
        <v>64</v>
      </c>
      <c r="C6" s="12" t="s">
        <v>20</v>
      </c>
      <c r="D6" s="35" t="s">
        <v>103</v>
      </c>
    </row>
    <row r="7" spans="1:4" ht="23.25">
      <c r="A7" s="12" t="s">
        <v>18</v>
      </c>
      <c r="B7" s="40" t="s">
        <v>64</v>
      </c>
      <c r="C7" s="12" t="s">
        <v>21</v>
      </c>
      <c r="D7" s="35" t="s">
        <v>97</v>
      </c>
    </row>
    <row r="8" ht="23.25">
      <c r="A8" s="35" t="s">
        <v>17</v>
      </c>
    </row>
    <row r="9" spans="1:11" ht="22.5" customHeight="1">
      <c r="A9" s="10" t="s">
        <v>0</v>
      </c>
      <c r="B9" s="10" t="s">
        <v>1</v>
      </c>
      <c r="C9" s="10" t="s">
        <v>2</v>
      </c>
      <c r="D9" s="10" t="s">
        <v>3</v>
      </c>
      <c r="E9" s="9" t="s">
        <v>4</v>
      </c>
      <c r="F9" s="11" t="s">
        <v>134</v>
      </c>
      <c r="J9" s="53"/>
      <c r="K9" s="53"/>
    </row>
    <row r="10" spans="1:11" ht="22.5" customHeight="1">
      <c r="A10" s="14" t="s">
        <v>14</v>
      </c>
      <c r="B10" s="100" t="s">
        <v>15</v>
      </c>
      <c r="C10" s="15" t="s">
        <v>82</v>
      </c>
      <c r="D10" s="32">
        <v>1145</v>
      </c>
      <c r="E10" s="34">
        <v>4274</v>
      </c>
      <c r="F10" s="11" t="s">
        <v>135</v>
      </c>
      <c r="J10" s="53"/>
      <c r="K10" s="53"/>
    </row>
    <row r="11" spans="1:11" ht="22.5" customHeight="1">
      <c r="A11" s="16"/>
      <c r="B11" s="13" t="s">
        <v>16</v>
      </c>
      <c r="C11" s="15" t="s">
        <v>81</v>
      </c>
      <c r="D11" s="32">
        <v>694</v>
      </c>
      <c r="E11" s="34">
        <v>2719</v>
      </c>
      <c r="F11" s="11" t="s">
        <v>204</v>
      </c>
      <c r="J11" s="53"/>
      <c r="K11" s="53"/>
    </row>
    <row r="12" spans="1:11" ht="22.5" customHeight="1">
      <c r="A12" s="16"/>
      <c r="B12" s="13" t="s">
        <v>74</v>
      </c>
      <c r="C12" s="17" t="s">
        <v>83</v>
      </c>
      <c r="D12" s="32">
        <v>1459</v>
      </c>
      <c r="E12" s="34">
        <v>5264</v>
      </c>
      <c r="F12" s="11" t="s">
        <v>145</v>
      </c>
      <c r="J12" s="53"/>
      <c r="K12" s="53"/>
    </row>
    <row r="13" spans="1:11" ht="22.5" customHeight="1">
      <c r="A13" s="16"/>
      <c r="B13" s="13" t="s">
        <v>75</v>
      </c>
      <c r="C13" s="8" t="s">
        <v>178</v>
      </c>
      <c r="D13" s="32">
        <v>213</v>
      </c>
      <c r="E13" s="34">
        <v>791</v>
      </c>
      <c r="F13" s="11" t="s">
        <v>153</v>
      </c>
      <c r="J13" s="53"/>
      <c r="K13" s="53"/>
    </row>
    <row r="14" spans="1:11" ht="22.5" customHeight="1">
      <c r="A14" s="16"/>
      <c r="B14" s="13" t="s">
        <v>76</v>
      </c>
      <c r="C14" s="8" t="s">
        <v>104</v>
      </c>
      <c r="D14" s="32">
        <v>1117</v>
      </c>
      <c r="E14" s="34">
        <v>3504</v>
      </c>
      <c r="F14" s="54" t="s">
        <v>144</v>
      </c>
      <c r="J14" s="53"/>
      <c r="K14" s="53"/>
    </row>
    <row r="15" spans="1:11" ht="22.5" customHeight="1">
      <c r="A15" s="16"/>
      <c r="B15" s="88" t="s">
        <v>77</v>
      </c>
      <c r="C15" s="13" t="s">
        <v>105</v>
      </c>
      <c r="D15" s="32">
        <v>4046</v>
      </c>
      <c r="E15" s="34">
        <v>15241</v>
      </c>
      <c r="F15" s="54" t="s">
        <v>224</v>
      </c>
      <c r="J15" s="53"/>
      <c r="K15" s="53"/>
    </row>
    <row r="16" spans="1:11" ht="22.5" customHeight="1">
      <c r="A16" s="16"/>
      <c r="B16" s="13" t="s">
        <v>78</v>
      </c>
      <c r="C16" s="8" t="s">
        <v>235</v>
      </c>
      <c r="D16" s="32">
        <v>204</v>
      </c>
      <c r="E16" s="34">
        <v>632</v>
      </c>
      <c r="F16" s="54" t="s">
        <v>165</v>
      </c>
      <c r="J16" s="53"/>
      <c r="K16" s="53"/>
    </row>
    <row r="17" spans="1:11" ht="22.5" customHeight="1">
      <c r="A17" s="16"/>
      <c r="B17" s="12" t="s">
        <v>79</v>
      </c>
      <c r="C17" s="18" t="s">
        <v>81</v>
      </c>
      <c r="D17" s="32">
        <v>730</v>
      </c>
      <c r="E17" s="34">
        <v>1998</v>
      </c>
      <c r="F17" s="54" t="s">
        <v>147</v>
      </c>
      <c r="J17" s="53"/>
      <c r="K17" s="53"/>
    </row>
    <row r="18" spans="1:11" ht="23.25">
      <c r="A18" s="19"/>
      <c r="B18" s="88" t="s">
        <v>80</v>
      </c>
      <c r="C18" s="8" t="s">
        <v>158</v>
      </c>
      <c r="D18" s="33">
        <v>92</v>
      </c>
      <c r="E18" s="33">
        <v>249</v>
      </c>
      <c r="F18" s="11" t="s">
        <v>180</v>
      </c>
      <c r="J18" s="7"/>
      <c r="K18" s="7"/>
    </row>
    <row r="19" spans="1:11" ht="23.25">
      <c r="A19" s="19" t="s">
        <v>99</v>
      </c>
      <c r="B19" s="100" t="s">
        <v>100</v>
      </c>
      <c r="C19" s="31" t="s">
        <v>143</v>
      </c>
      <c r="D19" s="33">
        <v>203</v>
      </c>
      <c r="E19" s="33">
        <v>544</v>
      </c>
      <c r="F19" s="11"/>
      <c r="J19" s="7"/>
      <c r="K19" s="7"/>
    </row>
    <row r="20" spans="1:11" ht="23.25">
      <c r="A20" s="8" t="s">
        <v>52</v>
      </c>
      <c r="B20" s="20">
        <v>10</v>
      </c>
      <c r="C20" s="20">
        <v>63</v>
      </c>
      <c r="D20" s="21">
        <f>SUM(D10:D19)</f>
        <v>9903</v>
      </c>
      <c r="E20" s="21">
        <f>SUM(E10:E19)</f>
        <v>35216</v>
      </c>
      <c r="F20" s="55"/>
      <c r="J20" s="56"/>
      <c r="K20" s="56"/>
    </row>
    <row r="21" spans="1:11" ht="23.25">
      <c r="A21" s="52" t="s">
        <v>26</v>
      </c>
      <c r="F21" s="56"/>
      <c r="J21" s="56"/>
      <c r="K21" s="56"/>
    </row>
    <row r="22" spans="1:11" ht="46.5">
      <c r="A22" s="159" t="s">
        <v>5</v>
      </c>
      <c r="B22" s="159"/>
      <c r="C22" s="10" t="s">
        <v>13</v>
      </c>
      <c r="D22" s="57" t="s">
        <v>6</v>
      </c>
      <c r="E22" s="57"/>
      <c r="F22" s="58"/>
      <c r="J22" s="56"/>
      <c r="K22" s="56"/>
    </row>
    <row r="23" spans="1:11" ht="23.25">
      <c r="A23" s="166" t="s">
        <v>118</v>
      </c>
      <c r="B23" s="167"/>
      <c r="C23" s="10"/>
      <c r="D23" s="171" t="s">
        <v>133</v>
      </c>
      <c r="E23" s="172"/>
      <c r="F23" s="173"/>
      <c r="J23" s="56"/>
      <c r="K23" s="56"/>
    </row>
    <row r="24" spans="1:11" ht="93.75" customHeight="1">
      <c r="A24" s="166" t="s">
        <v>109</v>
      </c>
      <c r="B24" s="167"/>
      <c r="C24" s="46"/>
      <c r="D24" s="166" t="s">
        <v>119</v>
      </c>
      <c r="E24" s="174"/>
      <c r="F24" s="167"/>
      <c r="J24" s="56"/>
      <c r="K24" s="56"/>
    </row>
    <row r="25" spans="1:11" ht="23.25">
      <c r="A25" s="166" t="s">
        <v>126</v>
      </c>
      <c r="B25" s="167"/>
      <c r="C25" s="10"/>
      <c r="D25" s="171" t="s">
        <v>127</v>
      </c>
      <c r="E25" s="172"/>
      <c r="F25" s="173"/>
      <c r="J25" s="56"/>
      <c r="K25" s="56"/>
    </row>
    <row r="26" spans="1:3" ht="23.25">
      <c r="A26" s="101" t="s">
        <v>23</v>
      </c>
      <c r="B26" s="7"/>
      <c r="C26" s="7"/>
    </row>
    <row r="27" spans="1:3" ht="23.25">
      <c r="A27" s="7" t="s">
        <v>24</v>
      </c>
      <c r="B27" s="7" t="s">
        <v>113</v>
      </c>
      <c r="C27" s="7"/>
    </row>
    <row r="28" spans="1:3" ht="23.25">
      <c r="A28" s="7" t="s">
        <v>65</v>
      </c>
      <c r="B28" s="7" t="s">
        <v>120</v>
      </c>
      <c r="C28" s="7" t="s">
        <v>122</v>
      </c>
    </row>
    <row r="29" spans="1:5" ht="23.25">
      <c r="A29" s="59" t="s">
        <v>25</v>
      </c>
      <c r="B29" s="7" t="s">
        <v>121</v>
      </c>
      <c r="C29" s="7" t="s">
        <v>123</v>
      </c>
      <c r="D29" s="53"/>
      <c r="E29" s="53"/>
    </row>
    <row r="30" spans="1:5" ht="23.25">
      <c r="A30" s="59"/>
      <c r="B30" s="7"/>
      <c r="C30" s="7" t="s">
        <v>124</v>
      </c>
      <c r="D30" s="53"/>
      <c r="E30" s="53"/>
    </row>
    <row r="31" ht="22.5" customHeight="1">
      <c r="A31" s="52" t="s">
        <v>116</v>
      </c>
    </row>
    <row r="32" spans="1:6" ht="23.25">
      <c r="A32" s="22" t="s">
        <v>7</v>
      </c>
      <c r="B32" s="23" t="s">
        <v>8</v>
      </c>
      <c r="C32" s="24"/>
      <c r="D32" s="25" t="s">
        <v>86</v>
      </c>
      <c r="E32" s="4" t="s">
        <v>87</v>
      </c>
      <c r="F32" s="5" t="s">
        <v>3</v>
      </c>
    </row>
    <row r="33" spans="1:6" ht="23.25">
      <c r="A33" s="10">
        <v>0</v>
      </c>
      <c r="B33" s="168">
        <v>0</v>
      </c>
      <c r="C33" s="169"/>
      <c r="D33" s="26" t="s">
        <v>101</v>
      </c>
      <c r="E33" s="4">
        <v>49</v>
      </c>
      <c r="F33" s="5">
        <v>49</v>
      </c>
    </row>
    <row r="34" spans="1:6" ht="23.25">
      <c r="A34" s="22"/>
      <c r="B34" s="36"/>
      <c r="C34" s="37"/>
      <c r="D34" s="26" t="s">
        <v>114</v>
      </c>
      <c r="E34" s="4">
        <v>292</v>
      </c>
      <c r="F34" s="5">
        <v>292</v>
      </c>
    </row>
    <row r="35" spans="1:6" ht="23.25">
      <c r="A35" s="22"/>
      <c r="B35" s="162"/>
      <c r="C35" s="163"/>
      <c r="D35" s="26" t="s">
        <v>107</v>
      </c>
      <c r="E35" s="4">
        <v>23</v>
      </c>
      <c r="F35" s="4">
        <v>23</v>
      </c>
    </row>
    <row r="36" spans="1:6" ht="23.25">
      <c r="A36" s="22"/>
      <c r="B36" s="36"/>
      <c r="C36" s="37"/>
      <c r="D36" s="26" t="s">
        <v>154</v>
      </c>
      <c r="E36" s="4">
        <v>16</v>
      </c>
      <c r="F36" s="4">
        <v>16</v>
      </c>
    </row>
    <row r="37" spans="1:6" ht="23.25">
      <c r="A37" s="22"/>
      <c r="B37" s="36"/>
      <c r="C37" s="37"/>
      <c r="D37" s="26" t="s">
        <v>106</v>
      </c>
      <c r="E37" s="4">
        <v>13</v>
      </c>
      <c r="F37" s="4">
        <v>13</v>
      </c>
    </row>
    <row r="38" spans="1:6" ht="23.25">
      <c r="A38" s="22"/>
      <c r="B38" s="36"/>
      <c r="C38" s="37"/>
      <c r="D38" s="26" t="s">
        <v>148</v>
      </c>
      <c r="E38" s="4">
        <v>8</v>
      </c>
      <c r="F38" s="4">
        <v>8</v>
      </c>
    </row>
    <row r="39" spans="1:6" ht="23.25">
      <c r="A39" s="22"/>
      <c r="B39" s="36"/>
      <c r="C39" s="37"/>
      <c r="D39" s="26" t="s">
        <v>149</v>
      </c>
      <c r="E39" s="4">
        <v>5</v>
      </c>
      <c r="F39" s="4">
        <v>5</v>
      </c>
    </row>
    <row r="40" spans="1:6" ht="23.25">
      <c r="A40" s="22"/>
      <c r="B40" s="36"/>
      <c r="C40" s="37"/>
      <c r="D40" s="26" t="s">
        <v>151</v>
      </c>
      <c r="E40" s="4">
        <v>13</v>
      </c>
      <c r="F40" s="4">
        <v>13</v>
      </c>
    </row>
    <row r="41" spans="1:6" ht="23.25">
      <c r="A41" s="22"/>
      <c r="B41" s="36"/>
      <c r="C41" s="37"/>
      <c r="D41" s="26" t="s">
        <v>152</v>
      </c>
      <c r="E41" s="4">
        <v>13</v>
      </c>
      <c r="F41" s="4">
        <v>13</v>
      </c>
    </row>
    <row r="42" spans="1:6" ht="23.25">
      <c r="A42" s="22"/>
      <c r="B42" s="36"/>
      <c r="C42" s="37"/>
      <c r="D42" s="26" t="s">
        <v>150</v>
      </c>
      <c r="E42" s="4">
        <v>7</v>
      </c>
      <c r="F42" s="4">
        <v>7</v>
      </c>
    </row>
    <row r="43" spans="1:6" ht="23.25" customHeight="1">
      <c r="A43" s="164" t="s">
        <v>88</v>
      </c>
      <c r="B43" s="165"/>
      <c r="C43" s="165"/>
      <c r="D43" s="27"/>
      <c r="E43" s="28">
        <f>SUM(E33:E42)</f>
        <v>439</v>
      </c>
      <c r="F43" s="28">
        <f>SUM(F33:F42)</f>
        <v>439</v>
      </c>
    </row>
    <row r="44" spans="1:6" ht="23.25">
      <c r="A44" s="52" t="s">
        <v>117</v>
      </c>
      <c r="D44" s="60"/>
      <c r="E44" s="61"/>
      <c r="F44" s="61"/>
    </row>
    <row r="45" spans="1:6" ht="23.25">
      <c r="A45" s="3" t="s">
        <v>70</v>
      </c>
      <c r="B45" s="152" t="s">
        <v>71</v>
      </c>
      <c r="C45" s="153"/>
      <c r="D45" s="4" t="s">
        <v>72</v>
      </c>
      <c r="E45" s="4" t="s">
        <v>73</v>
      </c>
      <c r="F45" s="5"/>
    </row>
    <row r="46" spans="1:6" ht="23.25">
      <c r="A46" s="31">
        <v>43</v>
      </c>
      <c r="B46" s="3">
        <v>43</v>
      </c>
      <c r="C46" s="39"/>
      <c r="D46" s="4">
        <v>0</v>
      </c>
      <c r="E46" s="4">
        <v>0</v>
      </c>
      <c r="F46" s="100" t="s">
        <v>108</v>
      </c>
    </row>
    <row r="47" spans="1:6" ht="23.25">
      <c r="A47" s="8">
        <v>64</v>
      </c>
      <c r="B47" s="3">
        <v>64</v>
      </c>
      <c r="C47" s="38"/>
      <c r="D47" s="4"/>
      <c r="E47" s="4"/>
      <c r="F47" s="13" t="s">
        <v>16</v>
      </c>
    </row>
    <row r="48" spans="1:6" ht="23.25">
      <c r="A48" s="8">
        <v>51</v>
      </c>
      <c r="B48" s="3">
        <v>51</v>
      </c>
      <c r="C48" s="38"/>
      <c r="D48" s="4"/>
      <c r="E48" s="4"/>
      <c r="F48" s="13" t="s">
        <v>74</v>
      </c>
    </row>
    <row r="49" spans="1:6" ht="23.25">
      <c r="A49" s="8">
        <v>47</v>
      </c>
      <c r="B49" s="3">
        <v>20</v>
      </c>
      <c r="C49" s="38"/>
      <c r="D49" s="4"/>
      <c r="E49" s="4"/>
      <c r="F49" s="13" t="s">
        <v>75</v>
      </c>
    </row>
    <row r="50" spans="1:6" ht="23.25">
      <c r="A50" s="8">
        <v>87</v>
      </c>
      <c r="B50" s="3">
        <v>63</v>
      </c>
      <c r="C50" s="38"/>
      <c r="D50" s="4"/>
      <c r="E50" s="4"/>
      <c r="F50" s="13" t="s">
        <v>76</v>
      </c>
    </row>
    <row r="51" spans="1:6" ht="23.25">
      <c r="A51" s="8">
        <v>178</v>
      </c>
      <c r="B51" s="3">
        <v>155</v>
      </c>
      <c r="C51" s="38"/>
      <c r="D51" s="4"/>
      <c r="E51" s="4"/>
      <c r="F51" s="88" t="s">
        <v>77</v>
      </c>
    </row>
    <row r="52" spans="1:6" ht="23.25">
      <c r="A52" s="8">
        <v>37</v>
      </c>
      <c r="B52" s="3">
        <v>20</v>
      </c>
      <c r="C52" s="38"/>
      <c r="D52" s="4"/>
      <c r="E52" s="4"/>
      <c r="F52" s="13" t="s">
        <v>78</v>
      </c>
    </row>
    <row r="53" spans="1:6" ht="23.25">
      <c r="A53" s="40">
        <v>51</v>
      </c>
      <c r="B53" s="3">
        <v>51</v>
      </c>
      <c r="C53" s="38"/>
      <c r="D53" s="4"/>
      <c r="E53" s="4"/>
      <c r="F53" s="13" t="s">
        <v>79</v>
      </c>
    </row>
    <row r="54" spans="1:6" ht="23.25">
      <c r="A54" s="8">
        <v>39</v>
      </c>
      <c r="B54" s="44">
        <v>11</v>
      </c>
      <c r="C54" s="62"/>
      <c r="D54" s="28"/>
      <c r="E54" s="28"/>
      <c r="F54" s="88" t="s">
        <v>80</v>
      </c>
    </row>
    <row r="55" spans="1:6" ht="23.25">
      <c r="A55" s="8">
        <v>25</v>
      </c>
      <c r="B55" s="44">
        <v>10</v>
      </c>
      <c r="C55" s="62"/>
      <c r="D55" s="28"/>
      <c r="E55" s="28"/>
      <c r="F55" s="13" t="s">
        <v>100</v>
      </c>
    </row>
    <row r="56" spans="1:6" ht="23.25">
      <c r="A56" s="29">
        <f>SUM(A46:A55)</f>
        <v>622</v>
      </c>
      <c r="B56" s="63">
        <f>SUM(B46:B55)</f>
        <v>488</v>
      </c>
      <c r="C56" s="64"/>
      <c r="D56" s="28"/>
      <c r="E56" s="28"/>
      <c r="F56" s="29" t="s">
        <v>88</v>
      </c>
    </row>
    <row r="57" spans="1:6" ht="23.25">
      <c r="A57" s="65" t="s">
        <v>53</v>
      </c>
      <c r="B57" s="66"/>
      <c r="C57" s="66"/>
      <c r="D57" s="66"/>
      <c r="E57" s="66"/>
      <c r="F57" s="66"/>
    </row>
    <row r="58" spans="1:6" ht="69.75">
      <c r="A58" s="67" t="s">
        <v>29</v>
      </c>
      <c r="B58" s="67"/>
      <c r="C58" s="6" t="s">
        <v>9</v>
      </c>
      <c r="D58" s="10" t="s">
        <v>30</v>
      </c>
      <c r="E58" s="57" t="s">
        <v>31</v>
      </c>
      <c r="F58" s="67"/>
    </row>
    <row r="59" spans="1:6" ht="93.75" customHeight="1">
      <c r="A59" s="154" t="s">
        <v>28</v>
      </c>
      <c r="B59" s="155"/>
      <c r="C59" s="10" t="s">
        <v>182</v>
      </c>
      <c r="D59" s="41" t="s">
        <v>84</v>
      </c>
      <c r="E59" s="156" t="s">
        <v>155</v>
      </c>
      <c r="F59" s="157"/>
    </row>
    <row r="60" spans="1:6" ht="91.5" customHeight="1">
      <c r="A60" s="154" t="s">
        <v>32</v>
      </c>
      <c r="B60" s="155"/>
      <c r="C60" s="42" t="s">
        <v>240</v>
      </c>
      <c r="D60" s="68" t="s">
        <v>239</v>
      </c>
      <c r="E60" s="152" t="s">
        <v>205</v>
      </c>
      <c r="F60" s="153"/>
    </row>
    <row r="61" spans="1:6" ht="23.25">
      <c r="A61" s="52" t="s">
        <v>54</v>
      </c>
      <c r="E61" s="149"/>
      <c r="F61" s="149"/>
    </row>
    <row r="62" spans="1:6" ht="23.25">
      <c r="A62" s="35" t="s">
        <v>55</v>
      </c>
      <c r="E62" s="149"/>
      <c r="F62" s="149"/>
    </row>
    <row r="63" spans="1:6" ht="23.25">
      <c r="A63" s="35" t="s">
        <v>56</v>
      </c>
      <c r="E63" s="149"/>
      <c r="F63" s="149"/>
    </row>
    <row r="64" spans="1:6" ht="46.5">
      <c r="A64" s="6" t="s">
        <v>51</v>
      </c>
      <c r="B64" s="6" t="s">
        <v>33</v>
      </c>
      <c r="C64" s="6" t="s">
        <v>10</v>
      </c>
      <c r="D64" s="6" t="s">
        <v>11</v>
      </c>
      <c r="E64" s="57" t="s">
        <v>12</v>
      </c>
      <c r="F64" s="67"/>
    </row>
    <row r="65" spans="1:6" ht="23.25">
      <c r="A65" s="86" t="s">
        <v>118</v>
      </c>
      <c r="B65" s="6">
        <v>0</v>
      </c>
      <c r="C65" s="6">
        <v>1</v>
      </c>
      <c r="D65" s="6">
        <v>38</v>
      </c>
      <c r="E65" s="43">
        <v>38</v>
      </c>
      <c r="F65" s="81"/>
    </row>
    <row r="66" spans="1:6" ht="23.25">
      <c r="A66" s="45" t="s">
        <v>109</v>
      </c>
      <c r="B66" s="6">
        <v>0</v>
      </c>
      <c r="C66" s="6">
        <v>0</v>
      </c>
      <c r="D66" s="6">
        <v>0</v>
      </c>
      <c r="E66" s="43">
        <v>0</v>
      </c>
      <c r="F66" s="81"/>
    </row>
    <row r="67" spans="1:6" ht="23.25">
      <c r="A67" s="45" t="s">
        <v>96</v>
      </c>
      <c r="B67" s="6">
        <v>0</v>
      </c>
      <c r="C67" s="6">
        <v>0</v>
      </c>
      <c r="D67" s="6">
        <v>0</v>
      </c>
      <c r="E67" s="43">
        <v>0</v>
      </c>
      <c r="F67" s="81"/>
    </row>
    <row r="68" spans="1:6" ht="23.25">
      <c r="A68" s="45" t="s">
        <v>130</v>
      </c>
      <c r="B68" s="6">
        <v>0</v>
      </c>
      <c r="C68" s="6">
        <v>0</v>
      </c>
      <c r="D68" s="6">
        <v>0</v>
      </c>
      <c r="E68" s="43">
        <v>0</v>
      </c>
      <c r="F68" s="81"/>
    </row>
    <row r="69" spans="1:6" ht="23.25">
      <c r="A69" s="86" t="s">
        <v>114</v>
      </c>
      <c r="B69" s="6">
        <v>0</v>
      </c>
      <c r="C69" s="6">
        <v>4</v>
      </c>
      <c r="D69" s="6">
        <f>112+54+230+263</f>
        <v>659</v>
      </c>
      <c r="E69" s="43">
        <f>112+54+58+67</f>
        <v>291</v>
      </c>
      <c r="F69" s="81"/>
    </row>
    <row r="70" spans="1:6" ht="23.25">
      <c r="A70" s="45" t="s">
        <v>126</v>
      </c>
      <c r="B70" s="6">
        <v>0</v>
      </c>
      <c r="C70" s="6">
        <v>0</v>
      </c>
      <c r="D70" s="69">
        <v>0</v>
      </c>
      <c r="E70" s="43">
        <v>0</v>
      </c>
      <c r="F70" s="81"/>
    </row>
    <row r="71" spans="1:6" ht="23.25">
      <c r="A71" s="86" t="s">
        <v>128</v>
      </c>
      <c r="B71" s="6">
        <v>0</v>
      </c>
      <c r="C71" s="6">
        <v>0</v>
      </c>
      <c r="D71" s="69">
        <v>79</v>
      </c>
      <c r="E71" s="43">
        <v>276</v>
      </c>
      <c r="F71" s="81"/>
    </row>
    <row r="72" spans="1:6" ht="23.25">
      <c r="A72" s="46" t="s">
        <v>85</v>
      </c>
      <c r="B72" s="4">
        <v>0</v>
      </c>
      <c r="C72" s="6">
        <v>0</v>
      </c>
      <c r="D72" s="6">
        <v>0</v>
      </c>
      <c r="E72" s="43">
        <v>0</v>
      </c>
      <c r="F72" s="82"/>
    </row>
    <row r="73" spans="1:6" ht="23.25">
      <c r="A73" s="46" t="s">
        <v>125</v>
      </c>
      <c r="B73" s="4">
        <v>0</v>
      </c>
      <c r="C73" s="6">
        <v>1</v>
      </c>
      <c r="D73" s="6">
        <v>8</v>
      </c>
      <c r="E73" s="43">
        <v>24</v>
      </c>
      <c r="F73" s="82"/>
    </row>
    <row r="74" spans="1:6" ht="23.25">
      <c r="A74" s="107" t="s">
        <v>115</v>
      </c>
      <c r="B74" s="4">
        <v>0</v>
      </c>
      <c r="C74" s="6">
        <v>2</v>
      </c>
      <c r="D74" s="6">
        <v>200</v>
      </c>
      <c r="E74" s="43">
        <v>200</v>
      </c>
      <c r="F74" s="82"/>
    </row>
    <row r="75" spans="1:6" ht="23.25">
      <c r="A75" s="10" t="s">
        <v>88</v>
      </c>
      <c r="B75" s="4">
        <f>SUM(B65:B74)</f>
        <v>0</v>
      </c>
      <c r="C75" s="4">
        <f>SUM(C65:C74)</f>
        <v>8</v>
      </c>
      <c r="D75" s="4">
        <f>SUM(D65:D74)</f>
        <v>984</v>
      </c>
      <c r="E75" s="44">
        <f>SUM(E65:E74)</f>
        <v>829</v>
      </c>
      <c r="F75" s="83"/>
    </row>
    <row r="76" ht="23.25">
      <c r="A76" s="35" t="s">
        <v>57</v>
      </c>
    </row>
    <row r="77" spans="1:3" s="7" customFormat="1" ht="22.5" customHeight="1">
      <c r="A77" s="2" t="s">
        <v>34</v>
      </c>
      <c r="B77" s="7" t="s">
        <v>89</v>
      </c>
      <c r="C77" s="30">
        <f>7</f>
        <v>7</v>
      </c>
    </row>
    <row r="78" spans="1:6" s="7" customFormat="1" ht="22.5" customHeight="1">
      <c r="A78" s="2"/>
      <c r="B78" s="7" t="s">
        <v>110</v>
      </c>
      <c r="C78" s="30">
        <f>20+14+6</f>
        <v>40</v>
      </c>
      <c r="F78" s="30"/>
    </row>
    <row r="79" spans="1:6" s="7" customFormat="1" ht="22.5" customHeight="1">
      <c r="A79" s="2"/>
      <c r="B79" s="7" t="s">
        <v>129</v>
      </c>
      <c r="C79" s="30">
        <f>5</f>
        <v>5</v>
      </c>
      <c r="F79" s="30"/>
    </row>
    <row r="80" spans="1:6" s="7" customFormat="1" ht="23.25">
      <c r="A80" s="2" t="s">
        <v>35</v>
      </c>
      <c r="B80" s="7" t="s">
        <v>111</v>
      </c>
      <c r="C80" s="30">
        <f>31+10+8</f>
        <v>49</v>
      </c>
      <c r="D80" s="1"/>
      <c r="E80" s="7" t="s">
        <v>215</v>
      </c>
      <c r="F80" s="30">
        <f>14+7</f>
        <v>21</v>
      </c>
    </row>
    <row r="81" spans="1:6" s="7" customFormat="1" ht="23.25">
      <c r="A81" s="2"/>
      <c r="B81" s="7" t="s">
        <v>131</v>
      </c>
      <c r="C81" s="30">
        <f>25+5</f>
        <v>30</v>
      </c>
      <c r="E81" s="7" t="s">
        <v>236</v>
      </c>
      <c r="F81" s="30">
        <f>1</f>
        <v>1</v>
      </c>
    </row>
    <row r="82" spans="1:6" s="7" customFormat="1" ht="23.25">
      <c r="A82" s="2"/>
      <c r="B82" s="7" t="s">
        <v>112</v>
      </c>
      <c r="C82" s="30">
        <f>53+2</f>
        <v>55</v>
      </c>
      <c r="E82" s="7" t="s">
        <v>216</v>
      </c>
      <c r="F82" s="30">
        <f>5</f>
        <v>5</v>
      </c>
    </row>
    <row r="83" spans="1:6" s="7" customFormat="1" ht="23.25">
      <c r="A83" s="2"/>
      <c r="B83" s="7" t="s">
        <v>213</v>
      </c>
      <c r="C83" s="30">
        <f>71+35+5</f>
        <v>111</v>
      </c>
      <c r="E83" s="2" t="s">
        <v>217</v>
      </c>
      <c r="F83" s="7">
        <f>17</f>
        <v>17</v>
      </c>
    </row>
    <row r="84" spans="1:6" s="7" customFormat="1" ht="23.25">
      <c r="A84" s="2"/>
      <c r="B84" s="7" t="s">
        <v>214</v>
      </c>
      <c r="C84" s="30"/>
      <c r="E84" s="7" t="s">
        <v>218</v>
      </c>
      <c r="F84" s="7">
        <f>8+5</f>
        <v>13</v>
      </c>
    </row>
    <row r="85" spans="1:5" s="7" customFormat="1" ht="23.25">
      <c r="A85" s="2"/>
      <c r="B85" s="7" t="s">
        <v>219</v>
      </c>
      <c r="C85" s="30">
        <f>7+11+1</f>
        <v>19</v>
      </c>
      <c r="E85" s="7" t="s">
        <v>225</v>
      </c>
    </row>
    <row r="86" spans="1:3" s="7" customFormat="1" ht="30" customHeight="1">
      <c r="A86" s="2"/>
      <c r="C86" s="30"/>
    </row>
    <row r="87" spans="1:3" s="7" customFormat="1" ht="30" customHeight="1">
      <c r="A87" s="2"/>
      <c r="C87" s="30"/>
    </row>
    <row r="88" spans="1:3" s="7" customFormat="1" ht="30" customHeight="1">
      <c r="A88" s="2"/>
      <c r="C88" s="30"/>
    </row>
    <row r="89" spans="1:6" ht="23.25">
      <c r="A89" s="70" t="s">
        <v>132</v>
      </c>
      <c r="B89" s="11"/>
      <c r="C89" s="11"/>
      <c r="D89" s="7"/>
      <c r="E89" s="7"/>
      <c r="F89" s="2"/>
    </row>
    <row r="90" spans="1:6" ht="51" customHeight="1">
      <c r="A90" s="150" t="s">
        <v>66</v>
      </c>
      <c r="B90" s="151"/>
      <c r="C90" s="49" t="s">
        <v>67</v>
      </c>
      <c r="D90" s="48" t="s">
        <v>68</v>
      </c>
      <c r="E90" s="49" t="s">
        <v>69</v>
      </c>
      <c r="F90" s="49" t="s">
        <v>140</v>
      </c>
    </row>
    <row r="91" spans="1:6" ht="23.25">
      <c r="A91" s="144" t="s">
        <v>90</v>
      </c>
      <c r="B91" s="145"/>
      <c r="C91" s="51">
        <v>7202</v>
      </c>
      <c r="D91" s="51">
        <v>5421</v>
      </c>
      <c r="E91" s="33">
        <v>5355</v>
      </c>
      <c r="F91" s="50">
        <f aca="true" t="shared" si="0" ref="F91:F98">E91*100/D91</f>
        <v>98.7825124515772</v>
      </c>
    </row>
    <row r="92" spans="1:6" ht="23.25">
      <c r="A92" s="144" t="s">
        <v>91</v>
      </c>
      <c r="B92" s="145"/>
      <c r="C92" s="8">
        <v>2</v>
      </c>
      <c r="D92" s="17">
        <v>2</v>
      </c>
      <c r="E92" s="47">
        <v>2</v>
      </c>
      <c r="F92" s="50">
        <f t="shared" si="0"/>
        <v>100</v>
      </c>
    </row>
    <row r="93" spans="1:6" ht="23.25">
      <c r="A93" s="144" t="s">
        <v>92</v>
      </c>
      <c r="B93" s="145"/>
      <c r="C93" s="8">
        <v>505</v>
      </c>
      <c r="D93" s="8">
        <v>421</v>
      </c>
      <c r="E93" s="47">
        <v>409</v>
      </c>
      <c r="F93" s="50">
        <f t="shared" si="0"/>
        <v>97.14964370546318</v>
      </c>
    </row>
    <row r="94" spans="1:6" ht="23.25">
      <c r="A94" s="144" t="s">
        <v>93</v>
      </c>
      <c r="B94" s="145"/>
      <c r="C94" s="8">
        <v>3150</v>
      </c>
      <c r="D94" s="8">
        <v>2464</v>
      </c>
      <c r="E94" s="8">
        <v>2441</v>
      </c>
      <c r="F94" s="50">
        <f t="shared" si="0"/>
        <v>99.06655844155844</v>
      </c>
    </row>
    <row r="95" spans="1:6" ht="23.25">
      <c r="A95" s="144" t="s">
        <v>94</v>
      </c>
      <c r="B95" s="145"/>
      <c r="C95" s="8">
        <v>298</v>
      </c>
      <c r="D95" s="8">
        <v>273</v>
      </c>
      <c r="E95" s="47">
        <v>273</v>
      </c>
      <c r="F95" s="50">
        <f t="shared" si="0"/>
        <v>100</v>
      </c>
    </row>
    <row r="96" spans="1:6" ht="23.25">
      <c r="A96" s="84" t="s">
        <v>156</v>
      </c>
      <c r="B96" s="85"/>
      <c r="C96" s="8">
        <v>77</v>
      </c>
      <c r="D96" s="8">
        <v>61</v>
      </c>
      <c r="E96" s="47">
        <v>61</v>
      </c>
      <c r="F96" s="50">
        <f t="shared" si="0"/>
        <v>100</v>
      </c>
    </row>
    <row r="97" spans="1:6" ht="23.25">
      <c r="A97" s="84" t="s">
        <v>157</v>
      </c>
      <c r="B97" s="85"/>
      <c r="C97" s="8">
        <v>1552</v>
      </c>
      <c r="D97" s="8">
        <v>1185</v>
      </c>
      <c r="E97" s="47">
        <v>1185</v>
      </c>
      <c r="F97" s="50">
        <f t="shared" si="0"/>
        <v>100</v>
      </c>
    </row>
    <row r="98" spans="1:6" ht="23.25">
      <c r="A98" s="144" t="s">
        <v>95</v>
      </c>
      <c r="B98" s="145"/>
      <c r="C98" s="8">
        <v>161</v>
      </c>
      <c r="D98" s="8">
        <v>159</v>
      </c>
      <c r="E98" s="47">
        <v>144</v>
      </c>
      <c r="F98" s="50">
        <f t="shared" si="0"/>
        <v>90.56603773584905</v>
      </c>
    </row>
    <row r="99" spans="1:6" ht="18.75" customHeight="1">
      <c r="A99" s="71" t="s">
        <v>58</v>
      </c>
      <c r="F99" s="7"/>
    </row>
    <row r="100" spans="1:9" ht="45.75" customHeight="1">
      <c r="A100" s="6" t="s">
        <v>36</v>
      </c>
      <c r="B100" s="4" t="s">
        <v>37</v>
      </c>
      <c r="C100" s="4" t="s">
        <v>38</v>
      </c>
      <c r="D100" s="6" t="s">
        <v>39</v>
      </c>
      <c r="E100" s="6" t="s">
        <v>40</v>
      </c>
      <c r="F100" s="6" t="s">
        <v>41</v>
      </c>
      <c r="G100" s="68" t="s">
        <v>177</v>
      </c>
      <c r="H100" s="46" t="s">
        <v>59</v>
      </c>
      <c r="I100" s="46" t="s">
        <v>60</v>
      </c>
    </row>
    <row r="101" spans="1:9" ht="18.75" customHeight="1">
      <c r="A101" s="86" t="s">
        <v>242</v>
      </c>
      <c r="B101" s="4">
        <v>0</v>
      </c>
      <c r="C101" s="4">
        <v>0</v>
      </c>
      <c r="D101" s="6">
        <v>0</v>
      </c>
      <c r="E101" s="6">
        <v>0</v>
      </c>
      <c r="F101" s="6">
        <v>0</v>
      </c>
      <c r="G101" s="10">
        <v>0</v>
      </c>
      <c r="H101" s="10">
        <v>0</v>
      </c>
      <c r="I101" s="10">
        <v>0</v>
      </c>
    </row>
    <row r="102" spans="1:9" ht="18.75" customHeight="1">
      <c r="A102" s="45" t="s">
        <v>220</v>
      </c>
      <c r="B102" s="4">
        <v>0</v>
      </c>
      <c r="C102" s="4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</row>
    <row r="103" spans="1:9" ht="18.75" customHeight="1">
      <c r="A103" s="86" t="s">
        <v>244</v>
      </c>
      <c r="B103" s="4">
        <v>5</v>
      </c>
      <c r="C103" s="4">
        <v>0</v>
      </c>
      <c r="D103" s="6">
        <v>0</v>
      </c>
      <c r="E103" s="6">
        <v>0</v>
      </c>
      <c r="F103" s="6">
        <v>0</v>
      </c>
      <c r="G103" s="6">
        <v>5</v>
      </c>
      <c r="H103" s="6">
        <v>4</v>
      </c>
      <c r="I103" s="6">
        <v>275</v>
      </c>
    </row>
    <row r="104" spans="1:9" ht="18.75" customHeight="1">
      <c r="A104" s="45" t="s">
        <v>243</v>
      </c>
      <c r="B104" s="4">
        <v>0</v>
      </c>
      <c r="C104" s="4">
        <v>0</v>
      </c>
      <c r="D104" s="6">
        <v>0</v>
      </c>
      <c r="E104" s="6">
        <v>0</v>
      </c>
      <c r="F104" s="6">
        <v>0</v>
      </c>
      <c r="G104" s="10">
        <v>1</v>
      </c>
      <c r="H104" s="10">
        <v>0</v>
      </c>
      <c r="I104" s="10">
        <v>1</v>
      </c>
    </row>
    <row r="105" spans="1:9" ht="18.75" customHeight="1">
      <c r="A105" s="45" t="s">
        <v>159</v>
      </c>
      <c r="B105" s="4">
        <v>0</v>
      </c>
      <c r="C105" s="4"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</row>
    <row r="106" spans="1:9" ht="18.75" customHeight="1">
      <c r="A106" s="45" t="s">
        <v>223</v>
      </c>
      <c r="B106" s="4">
        <v>0</v>
      </c>
      <c r="C106" s="4">
        <v>0</v>
      </c>
      <c r="D106" s="6">
        <v>0</v>
      </c>
      <c r="E106" s="6">
        <v>0</v>
      </c>
      <c r="F106" s="6">
        <v>0</v>
      </c>
      <c r="G106" s="10">
        <v>0</v>
      </c>
      <c r="H106" s="10">
        <v>0</v>
      </c>
      <c r="I106" s="10">
        <v>0</v>
      </c>
    </row>
    <row r="107" spans="1:9" ht="18.75" customHeight="1">
      <c r="A107" s="46" t="s">
        <v>221</v>
      </c>
      <c r="B107" s="9">
        <v>0</v>
      </c>
      <c r="C107" s="9">
        <v>0</v>
      </c>
      <c r="D107" s="10">
        <v>0</v>
      </c>
      <c r="E107" s="8">
        <v>0</v>
      </c>
      <c r="F107" s="8">
        <v>0</v>
      </c>
      <c r="G107" s="10">
        <v>0</v>
      </c>
      <c r="H107" s="10">
        <v>0</v>
      </c>
      <c r="I107" s="10">
        <v>0</v>
      </c>
    </row>
    <row r="108" spans="1:9" ht="23.25">
      <c r="A108" s="107" t="s">
        <v>245</v>
      </c>
      <c r="B108" s="9">
        <v>3</v>
      </c>
      <c r="C108" s="9">
        <v>0</v>
      </c>
      <c r="D108" s="10">
        <v>0</v>
      </c>
      <c r="E108" s="8">
        <v>0</v>
      </c>
      <c r="F108" s="8">
        <v>2</v>
      </c>
      <c r="G108" s="10">
        <v>75</v>
      </c>
      <c r="H108" s="10">
        <v>2</v>
      </c>
      <c r="I108" s="10">
        <v>75</v>
      </c>
    </row>
    <row r="109" spans="1:9" ht="23.25">
      <c r="A109" s="46" t="s">
        <v>181</v>
      </c>
      <c r="B109" s="9">
        <v>0</v>
      </c>
      <c r="C109" s="9">
        <v>0</v>
      </c>
      <c r="D109" s="10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</row>
    <row r="110" spans="1:9" ht="23.25">
      <c r="A110" s="107" t="s">
        <v>246</v>
      </c>
      <c r="B110" s="9">
        <v>0</v>
      </c>
      <c r="C110" s="9">
        <v>0</v>
      </c>
      <c r="D110" s="10">
        <v>0</v>
      </c>
      <c r="E110" s="8">
        <v>0</v>
      </c>
      <c r="F110" s="8">
        <v>0</v>
      </c>
      <c r="G110" s="8">
        <v>30</v>
      </c>
      <c r="H110" s="8">
        <v>0</v>
      </c>
      <c r="I110" s="8">
        <v>30</v>
      </c>
    </row>
    <row r="111" spans="1:9" ht="23.25">
      <c r="A111" s="10" t="s">
        <v>247</v>
      </c>
      <c r="B111" s="9">
        <f aca="true" t="shared" si="1" ref="B111:I111">SUM(B101:B110)</f>
        <v>8</v>
      </c>
      <c r="C111" s="9">
        <f t="shared" si="1"/>
        <v>0</v>
      </c>
      <c r="D111" s="9">
        <f t="shared" si="1"/>
        <v>0</v>
      </c>
      <c r="E111" s="9">
        <f t="shared" si="1"/>
        <v>0</v>
      </c>
      <c r="F111" s="9">
        <f t="shared" si="1"/>
        <v>2</v>
      </c>
      <c r="G111" s="9">
        <f t="shared" si="1"/>
        <v>111</v>
      </c>
      <c r="H111" s="9">
        <f t="shared" si="1"/>
        <v>6</v>
      </c>
      <c r="I111" s="9">
        <f t="shared" si="1"/>
        <v>381</v>
      </c>
    </row>
    <row r="112" spans="1:6" s="72" customFormat="1" ht="23.25">
      <c r="A112" s="73" t="s">
        <v>61</v>
      </c>
      <c r="B112" s="66"/>
      <c r="C112" s="66"/>
      <c r="D112" s="66"/>
      <c r="E112" s="66"/>
      <c r="F112" s="35"/>
    </row>
    <row r="113" spans="1:6" s="72" customFormat="1" ht="23.25">
      <c r="A113" s="10" t="s">
        <v>42</v>
      </c>
      <c r="B113" s="159" t="s">
        <v>43</v>
      </c>
      <c r="C113" s="152"/>
      <c r="D113" s="10" t="s">
        <v>44</v>
      </c>
      <c r="E113" s="74" t="s">
        <v>11</v>
      </c>
      <c r="F113" s="75"/>
    </row>
    <row r="114" spans="1:6" s="72" customFormat="1" ht="50.25" customHeight="1">
      <c r="A114" s="76" t="s">
        <v>45</v>
      </c>
      <c r="B114" s="146">
        <v>19988</v>
      </c>
      <c r="C114" s="148"/>
      <c r="D114" s="77" t="s">
        <v>146</v>
      </c>
      <c r="E114" s="160" t="s">
        <v>136</v>
      </c>
      <c r="F114" s="161"/>
    </row>
    <row r="115" spans="1:6" s="72" customFormat="1" ht="21.75">
      <c r="A115" s="76" t="s">
        <v>46</v>
      </c>
      <c r="B115" s="147"/>
      <c r="C115" s="148"/>
      <c r="D115" s="78"/>
      <c r="E115" s="158"/>
      <c r="F115" s="158"/>
    </row>
    <row r="116" spans="1:6" s="72" customFormat="1" ht="21.75">
      <c r="A116" s="76" t="s">
        <v>47</v>
      </c>
      <c r="B116" s="147"/>
      <c r="C116" s="148"/>
      <c r="D116" s="78"/>
      <c r="E116" s="158"/>
      <c r="F116" s="158"/>
    </row>
    <row r="117" spans="1:6" ht="23.25">
      <c r="A117" s="76" t="s">
        <v>48</v>
      </c>
      <c r="B117" s="147"/>
      <c r="C117" s="147"/>
      <c r="D117" s="78"/>
      <c r="E117" s="158"/>
      <c r="F117" s="158"/>
    </row>
    <row r="118" spans="1:6" ht="23.25">
      <c r="A118" s="76" t="s">
        <v>49</v>
      </c>
      <c r="B118" s="146">
        <v>19988</v>
      </c>
      <c r="C118" s="148"/>
      <c r="D118" s="79" t="s">
        <v>137</v>
      </c>
      <c r="E118" s="158"/>
      <c r="F118" s="158"/>
    </row>
    <row r="119" spans="1:6" ht="23.25">
      <c r="A119" s="76" t="s">
        <v>50</v>
      </c>
      <c r="B119" s="146">
        <v>19994</v>
      </c>
      <c r="C119" s="147"/>
      <c r="D119" s="79" t="s">
        <v>138</v>
      </c>
      <c r="E119" s="158"/>
      <c r="F119" s="158"/>
    </row>
    <row r="120" spans="1:6" ht="23.25">
      <c r="A120" s="102"/>
      <c r="B120" s="103"/>
      <c r="C120" s="104"/>
      <c r="D120" s="105"/>
      <c r="E120" s="106"/>
      <c r="F120" s="106"/>
    </row>
    <row r="121" ht="23.25">
      <c r="A121" s="35" t="s">
        <v>62</v>
      </c>
    </row>
    <row r="122" spans="1:5" s="35" customFormat="1" ht="27.75" customHeight="1">
      <c r="A122" s="142" t="s">
        <v>189</v>
      </c>
      <c r="B122" s="143"/>
      <c r="C122" s="143"/>
      <c r="D122" s="143" t="s">
        <v>206</v>
      </c>
      <c r="E122" s="143"/>
    </row>
    <row r="123" spans="1:6" s="35" customFormat="1" ht="27.75" customHeight="1">
      <c r="A123" s="142" t="s">
        <v>190</v>
      </c>
      <c r="B123" s="143"/>
      <c r="C123" s="143"/>
      <c r="D123" s="143" t="s">
        <v>207</v>
      </c>
      <c r="E123" s="143"/>
      <c r="F123" s="2"/>
    </row>
    <row r="124" spans="1:6" s="35" customFormat="1" ht="27.75" customHeight="1">
      <c r="A124" s="142" t="s">
        <v>191</v>
      </c>
      <c r="B124" s="143"/>
      <c r="C124" s="143"/>
      <c r="D124" s="143" t="s">
        <v>208</v>
      </c>
      <c r="E124" s="143"/>
      <c r="F124" s="2"/>
    </row>
    <row r="125" spans="1:6" s="35" customFormat="1" ht="27.75" customHeight="1">
      <c r="A125" s="142" t="s">
        <v>192</v>
      </c>
      <c r="B125" s="143"/>
      <c r="C125" s="143"/>
      <c r="D125" s="143" t="s">
        <v>209</v>
      </c>
      <c r="E125" s="143"/>
      <c r="F125" s="2"/>
    </row>
    <row r="126" spans="1:6" s="35" customFormat="1" ht="27.75" customHeight="1">
      <c r="A126" s="142" t="s">
        <v>193</v>
      </c>
      <c r="B126" s="143"/>
      <c r="C126" s="143"/>
      <c r="D126" s="143" t="s">
        <v>210</v>
      </c>
      <c r="E126" s="143"/>
      <c r="F126" s="2"/>
    </row>
    <row r="127" spans="1:6" s="35" customFormat="1" ht="27.75" customHeight="1">
      <c r="A127" s="142" t="s">
        <v>194</v>
      </c>
      <c r="B127" s="143"/>
      <c r="C127" s="143"/>
      <c r="D127" s="143" t="s">
        <v>211</v>
      </c>
      <c r="E127" s="143"/>
      <c r="F127" s="2"/>
    </row>
    <row r="128" spans="1:6" s="35" customFormat="1" ht="27.75" customHeight="1">
      <c r="A128" s="142" t="s">
        <v>195</v>
      </c>
      <c r="B128" s="143"/>
      <c r="C128" s="143"/>
      <c r="D128" s="143" t="s">
        <v>212</v>
      </c>
      <c r="E128" s="143"/>
      <c r="F128" s="2"/>
    </row>
    <row r="129" spans="1:6" s="35" customFormat="1" ht="27.75" customHeight="1">
      <c r="A129" s="142" t="s">
        <v>196</v>
      </c>
      <c r="B129" s="143"/>
      <c r="C129" s="143"/>
      <c r="D129" s="143"/>
      <c r="E129" s="143"/>
      <c r="F129" s="2"/>
    </row>
    <row r="130" spans="1:6" s="35" customFormat="1" ht="27.75" customHeight="1">
      <c r="A130" s="142" t="s">
        <v>197</v>
      </c>
      <c r="B130" s="143"/>
      <c r="C130" s="143"/>
      <c r="D130" s="143"/>
      <c r="E130" s="143"/>
      <c r="F130" s="2"/>
    </row>
    <row r="131" spans="1:6" s="35" customFormat="1" ht="27.75" customHeight="1">
      <c r="A131" s="142" t="s">
        <v>198</v>
      </c>
      <c r="B131" s="143"/>
      <c r="C131" s="143"/>
      <c r="D131" s="143"/>
      <c r="E131" s="143"/>
      <c r="F131" s="2"/>
    </row>
    <row r="132" spans="1:3" s="35" customFormat="1" ht="27.75" customHeight="1">
      <c r="A132" s="142" t="s">
        <v>199</v>
      </c>
      <c r="B132" s="143"/>
      <c r="C132" s="143"/>
    </row>
    <row r="133" spans="1:5" s="35" customFormat="1" ht="27.75" customHeight="1">
      <c r="A133" s="142" t="s">
        <v>200</v>
      </c>
      <c r="B133" s="143"/>
      <c r="C133" s="143"/>
      <c r="D133" s="141" t="s">
        <v>201</v>
      </c>
      <c r="E133" s="141"/>
    </row>
    <row r="134" spans="4:5" ht="23.25">
      <c r="D134" s="141" t="s">
        <v>202</v>
      </c>
      <c r="E134" s="141"/>
    </row>
    <row r="135" spans="4:5" ht="23.25">
      <c r="D135" s="141" t="s">
        <v>102</v>
      </c>
      <c r="E135" s="141"/>
    </row>
    <row r="142" ht="22.5" customHeight="1"/>
    <row r="143" ht="22.5" customHeight="1"/>
    <row r="144" ht="22.5" customHeight="1"/>
    <row r="145" ht="22.5" customHeight="1"/>
    <row r="146" ht="22.5" customHeight="1"/>
    <row r="175" ht="22.5" customHeight="1"/>
    <row r="176" ht="22.5" customHeight="1"/>
    <row r="194" ht="23.25">
      <c r="F194" s="7"/>
    </row>
    <row r="195" ht="23.25">
      <c r="F195" s="7"/>
    </row>
    <row r="196" ht="23.25">
      <c r="F196" s="7"/>
    </row>
    <row r="197" ht="23.25">
      <c r="F197" s="7"/>
    </row>
    <row r="199" ht="23.25">
      <c r="F199" s="35"/>
    </row>
    <row r="200" ht="23.25">
      <c r="F200" s="35"/>
    </row>
    <row r="201" ht="23.25">
      <c r="F201" s="35"/>
    </row>
    <row r="202" ht="23.25">
      <c r="F202" s="35"/>
    </row>
    <row r="203" ht="23.25">
      <c r="F203" s="35"/>
    </row>
    <row r="204" ht="23.25">
      <c r="F204" s="35"/>
    </row>
    <row r="205" ht="23.25">
      <c r="F205" s="35"/>
    </row>
    <row r="224" ht="23.25">
      <c r="F224" s="80"/>
    </row>
    <row r="225" ht="23.25">
      <c r="F225" s="11"/>
    </row>
    <row r="226" ht="23.25">
      <c r="F226" s="11"/>
    </row>
    <row r="249" ht="23.25">
      <c r="F249" s="7"/>
    </row>
    <row r="250" ht="23.25">
      <c r="F250" s="7"/>
    </row>
    <row r="251" ht="23.25">
      <c r="F251" s="7"/>
    </row>
    <row r="252" ht="23.25">
      <c r="F252" s="7"/>
    </row>
    <row r="253" ht="23.25">
      <c r="F253" s="7"/>
    </row>
    <row r="334" ht="23.25">
      <c r="F334" s="7"/>
    </row>
    <row r="335" ht="23.25">
      <c r="F335" s="7"/>
    </row>
    <row r="336" ht="23.25">
      <c r="F336" s="7"/>
    </row>
    <row r="337" ht="23.25">
      <c r="F337" s="7"/>
    </row>
    <row r="339" ht="23.25">
      <c r="F339" s="35"/>
    </row>
    <row r="340" ht="23.25">
      <c r="F340" s="35"/>
    </row>
    <row r="341" ht="23.25">
      <c r="F341" s="35"/>
    </row>
    <row r="342" ht="23.25">
      <c r="F342" s="35"/>
    </row>
    <row r="343" ht="23.25">
      <c r="F343" s="35"/>
    </row>
    <row r="344" ht="23.25">
      <c r="F344" s="35"/>
    </row>
    <row r="345" ht="23.25">
      <c r="F345" s="35"/>
    </row>
    <row r="362" ht="23.25">
      <c r="F362" s="80"/>
    </row>
    <row r="363" ht="23.25">
      <c r="F363" s="11"/>
    </row>
    <row r="364" ht="23.25">
      <c r="F364" s="11"/>
    </row>
  </sheetData>
  <sheetProtection/>
  <mergeCells count="67">
    <mergeCell ref="D23:F23"/>
    <mergeCell ref="D24:F24"/>
    <mergeCell ref="A24:B24"/>
    <mergeCell ref="B33:C33"/>
    <mergeCell ref="E1:F1"/>
    <mergeCell ref="D25:F25"/>
    <mergeCell ref="A25:B25"/>
    <mergeCell ref="A22:B22"/>
    <mergeCell ref="A2:F2"/>
    <mergeCell ref="A3:F3"/>
    <mergeCell ref="A4:F4"/>
    <mergeCell ref="A23:B23"/>
    <mergeCell ref="E114:F114"/>
    <mergeCell ref="B115:C115"/>
    <mergeCell ref="E115:F115"/>
    <mergeCell ref="B45:C45"/>
    <mergeCell ref="B35:C35"/>
    <mergeCell ref="A43:C43"/>
    <mergeCell ref="E59:F59"/>
    <mergeCell ref="A59:B59"/>
    <mergeCell ref="E119:F119"/>
    <mergeCell ref="B117:C117"/>
    <mergeCell ref="E117:F117"/>
    <mergeCell ref="B118:C118"/>
    <mergeCell ref="E118:F118"/>
    <mergeCell ref="E116:F116"/>
    <mergeCell ref="A98:B98"/>
    <mergeCell ref="B113:C113"/>
    <mergeCell ref="E61:F61"/>
    <mergeCell ref="E62:F62"/>
    <mergeCell ref="E63:F63"/>
    <mergeCell ref="A90:B90"/>
    <mergeCell ref="A91:B91"/>
    <mergeCell ref="E60:F60"/>
    <mergeCell ref="A60:B60"/>
    <mergeCell ref="A93:B93"/>
    <mergeCell ref="B119:C119"/>
    <mergeCell ref="B116:C116"/>
    <mergeCell ref="A94:B94"/>
    <mergeCell ref="A95:B95"/>
    <mergeCell ref="A92:B92"/>
    <mergeCell ref="B114:C114"/>
    <mergeCell ref="D122:E122"/>
    <mergeCell ref="D123:E123"/>
    <mergeCell ref="D124:E124"/>
    <mergeCell ref="D125:E125"/>
    <mergeCell ref="A122:C122"/>
    <mergeCell ref="A123:C123"/>
    <mergeCell ref="A124:C124"/>
    <mergeCell ref="A129:C129"/>
    <mergeCell ref="A130:C130"/>
    <mergeCell ref="A131:C131"/>
    <mergeCell ref="A132:C132"/>
    <mergeCell ref="A125:C125"/>
    <mergeCell ref="A126:C126"/>
    <mergeCell ref="A127:C127"/>
    <mergeCell ref="A128:C128"/>
    <mergeCell ref="D134:E134"/>
    <mergeCell ref="D135:E135"/>
    <mergeCell ref="A133:C133"/>
    <mergeCell ref="D126:E126"/>
    <mergeCell ref="D127:E127"/>
    <mergeCell ref="D128:E128"/>
    <mergeCell ref="D129:E129"/>
    <mergeCell ref="D130:E130"/>
    <mergeCell ref="D131:E131"/>
    <mergeCell ref="D133:E133"/>
  </mergeCells>
  <printOptions/>
  <pageMargins left="0.15748031496062992" right="0.15748031496062992" top="0.15748031496062992" bottom="0.15748031496062992" header="0.5118110236220472" footer="0.5118110236220472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9"/>
  <sheetViews>
    <sheetView zoomScalePageLayoutView="0" workbookViewId="0" topLeftCell="A1">
      <selection activeCell="D5" sqref="D5:D6"/>
    </sheetView>
  </sheetViews>
  <sheetFormatPr defaultColWidth="9.140625" defaultRowHeight="12.75"/>
  <cols>
    <col min="1" max="1" width="18.421875" style="0" customWidth="1"/>
    <col min="2" max="2" width="21.7109375" style="0" customWidth="1"/>
    <col min="3" max="3" width="56.421875" style="0" customWidth="1"/>
    <col min="4" max="4" width="17.00390625" style="0" customWidth="1"/>
  </cols>
  <sheetData>
    <row r="3" spans="1:4" ht="12.75">
      <c r="A3" s="87" t="s">
        <v>162</v>
      </c>
      <c r="B3" s="87" t="s">
        <v>1</v>
      </c>
      <c r="C3" s="87" t="s">
        <v>160</v>
      </c>
      <c r="D3" s="87" t="s">
        <v>161</v>
      </c>
    </row>
    <row r="4" spans="1:3" ht="12.75">
      <c r="A4" t="s">
        <v>14</v>
      </c>
      <c r="B4" t="s">
        <v>15</v>
      </c>
      <c r="C4" t="s">
        <v>163</v>
      </c>
    </row>
    <row r="5" spans="2:3" ht="12.75">
      <c r="B5" t="s">
        <v>228</v>
      </c>
      <c r="C5" t="s">
        <v>164</v>
      </c>
    </row>
    <row r="6" spans="2:3" ht="12.75">
      <c r="B6" t="s">
        <v>229</v>
      </c>
      <c r="C6" t="s">
        <v>230</v>
      </c>
    </row>
    <row r="7" spans="2:3" ht="12.75">
      <c r="B7" t="s">
        <v>16</v>
      </c>
      <c r="C7" t="s">
        <v>231</v>
      </c>
    </row>
    <row r="8" spans="2:3" ht="12.75">
      <c r="B8" t="s">
        <v>78</v>
      </c>
      <c r="C8" t="s">
        <v>179</v>
      </c>
    </row>
    <row r="9" spans="2:3" ht="12.75">
      <c r="B9" t="s">
        <v>77</v>
      </c>
      <c r="C9" t="s">
        <v>227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A1">
      <selection activeCell="A66" sqref="A66"/>
    </sheetView>
  </sheetViews>
  <sheetFormatPr defaultColWidth="9.140625" defaultRowHeight="12.75"/>
  <cols>
    <col min="1" max="1" width="20.28125" style="138" customWidth="1"/>
    <col min="2" max="2" width="10.421875" style="109" customWidth="1"/>
    <col min="3" max="3" width="11.28125" style="109" customWidth="1"/>
    <col min="4" max="4" width="24.8515625" style="109" customWidth="1"/>
    <col min="5" max="5" width="13.28125" style="109" customWidth="1"/>
    <col min="6" max="6" width="10.00390625" style="109" bestFit="1" customWidth="1"/>
    <col min="7" max="16384" width="9.140625" style="109" customWidth="1"/>
  </cols>
  <sheetData>
    <row r="1" spans="1:6" ht="24.75" customHeight="1" thickBot="1">
      <c r="A1" s="108" t="s">
        <v>183</v>
      </c>
      <c r="E1" s="109" t="s">
        <v>234</v>
      </c>
      <c r="F1" s="110"/>
    </row>
    <row r="2" spans="1:5" ht="43.5" customHeight="1" thickBot="1">
      <c r="A2" s="111" t="s">
        <v>139</v>
      </c>
      <c r="B2" s="112" t="s">
        <v>67</v>
      </c>
      <c r="C2" s="112" t="s">
        <v>68</v>
      </c>
      <c r="D2" s="112" t="s">
        <v>69</v>
      </c>
      <c r="E2" s="112" t="s">
        <v>140</v>
      </c>
    </row>
    <row r="3" spans="1:5" ht="21" thickBot="1">
      <c r="A3" s="113" t="s">
        <v>16</v>
      </c>
      <c r="B3" s="114">
        <v>313</v>
      </c>
      <c r="C3" s="114">
        <v>313</v>
      </c>
      <c r="D3" s="114">
        <v>313</v>
      </c>
      <c r="E3" s="115">
        <f>D3*100/C3</f>
        <v>100</v>
      </c>
    </row>
    <row r="4" spans="1:5" ht="21" thickBot="1">
      <c r="A4" s="119" t="s">
        <v>15</v>
      </c>
      <c r="B4" s="114">
        <v>660</v>
      </c>
      <c r="C4" s="114">
        <v>660</v>
      </c>
      <c r="D4" s="114">
        <v>660</v>
      </c>
      <c r="E4" s="115">
        <f aca="true" t="shared" si="0" ref="E4:E12">D4*100/C4</f>
        <v>100</v>
      </c>
    </row>
    <row r="5" spans="1:5" ht="21" thickBot="1">
      <c r="A5" s="116" t="s">
        <v>76</v>
      </c>
      <c r="B5" s="117">
        <v>935</v>
      </c>
      <c r="C5" s="117">
        <v>437</v>
      </c>
      <c r="D5" s="118">
        <v>437</v>
      </c>
      <c r="E5" s="115">
        <f t="shared" si="0"/>
        <v>100</v>
      </c>
    </row>
    <row r="6" spans="1:5" ht="21" thickBot="1">
      <c r="A6" s="116" t="s">
        <v>79</v>
      </c>
      <c r="B6" s="117">
        <v>334</v>
      </c>
      <c r="C6" s="117">
        <v>334</v>
      </c>
      <c r="D6" s="118">
        <v>334</v>
      </c>
      <c r="E6" s="115">
        <f t="shared" si="0"/>
        <v>100</v>
      </c>
    </row>
    <row r="7" spans="1:5" ht="21" thickBot="1">
      <c r="A7" s="113" t="s">
        <v>75</v>
      </c>
      <c r="B7" s="114">
        <v>370</v>
      </c>
      <c r="C7" s="117">
        <v>62</v>
      </c>
      <c r="D7" s="118">
        <v>62</v>
      </c>
      <c r="E7" s="115">
        <f t="shared" si="0"/>
        <v>100</v>
      </c>
    </row>
    <row r="8" spans="1:5" ht="25.5" customHeight="1" thickBot="1">
      <c r="A8" s="113" t="s">
        <v>78</v>
      </c>
      <c r="B8" s="114">
        <v>360</v>
      </c>
      <c r="C8" s="117">
        <v>90</v>
      </c>
      <c r="D8" s="118">
        <v>90</v>
      </c>
      <c r="E8" s="115">
        <f t="shared" si="0"/>
        <v>100</v>
      </c>
    </row>
    <row r="9" spans="1:5" ht="21" thickBot="1">
      <c r="A9" s="119" t="s">
        <v>80</v>
      </c>
      <c r="B9" s="114">
        <v>139</v>
      </c>
      <c r="C9" s="117">
        <v>45</v>
      </c>
      <c r="D9" s="118">
        <v>45</v>
      </c>
      <c r="E9" s="115">
        <f t="shared" si="0"/>
        <v>100</v>
      </c>
    </row>
    <row r="10" spans="1:5" ht="21" thickBot="1">
      <c r="A10" s="113" t="s">
        <v>74</v>
      </c>
      <c r="B10" s="114">
        <v>325</v>
      </c>
      <c r="C10" s="117">
        <v>325</v>
      </c>
      <c r="D10" s="118">
        <v>325</v>
      </c>
      <c r="E10" s="115">
        <f t="shared" si="0"/>
        <v>100</v>
      </c>
    </row>
    <row r="11" spans="1:5" ht="21" thickBot="1">
      <c r="A11" s="119" t="s">
        <v>77</v>
      </c>
      <c r="B11" s="120">
        <v>3542</v>
      </c>
      <c r="C11" s="121">
        <v>2951</v>
      </c>
      <c r="D11" s="122">
        <v>2885</v>
      </c>
      <c r="E11" s="115">
        <f t="shared" si="0"/>
        <v>97.76347001016605</v>
      </c>
    </row>
    <row r="12" spans="1:5" ht="21" thickBot="1">
      <c r="A12" s="119" t="s">
        <v>141</v>
      </c>
      <c r="B12" s="114">
        <v>247</v>
      </c>
      <c r="C12" s="117">
        <v>227</v>
      </c>
      <c r="D12" s="118">
        <v>227</v>
      </c>
      <c r="E12" s="115">
        <f t="shared" si="0"/>
        <v>100</v>
      </c>
    </row>
    <row r="13" spans="1:5" ht="21" thickBot="1">
      <c r="A13" s="123" t="s">
        <v>88</v>
      </c>
      <c r="B13" s="120">
        <f>SUM(B3:B12)</f>
        <v>7225</v>
      </c>
      <c r="C13" s="120">
        <f>SUM(C3:C12)</f>
        <v>5444</v>
      </c>
      <c r="D13" s="120">
        <f>SUM(D3:D12)</f>
        <v>5378</v>
      </c>
      <c r="E13" s="115">
        <f>D13*100/C13</f>
        <v>98.78765613519471</v>
      </c>
    </row>
    <row r="14" ht="27.75" customHeight="1" thickBot="1">
      <c r="A14" s="124" t="s">
        <v>185</v>
      </c>
    </row>
    <row r="15" spans="1:5" ht="41.25" thickBot="1">
      <c r="A15" s="125" t="s">
        <v>139</v>
      </c>
      <c r="B15" s="126" t="s">
        <v>67</v>
      </c>
      <c r="C15" s="126" t="s">
        <v>68</v>
      </c>
      <c r="D15" s="126" t="s">
        <v>69</v>
      </c>
      <c r="E15" s="112" t="s">
        <v>140</v>
      </c>
    </row>
    <row r="16" spans="1:5" ht="21" thickBot="1">
      <c r="A16" s="116" t="s">
        <v>16</v>
      </c>
      <c r="B16" s="117">
        <v>36</v>
      </c>
      <c r="C16" s="117">
        <v>36</v>
      </c>
      <c r="D16" s="117">
        <v>36</v>
      </c>
      <c r="E16" s="115">
        <f>D16*100/C16</f>
        <v>100</v>
      </c>
    </row>
    <row r="17" spans="1:5" ht="21" thickBot="1">
      <c r="A17" s="139" t="s">
        <v>15</v>
      </c>
      <c r="B17" s="117">
        <v>77</v>
      </c>
      <c r="C17" s="117">
        <v>75</v>
      </c>
      <c r="D17" s="117">
        <v>75</v>
      </c>
      <c r="E17" s="115">
        <f aca="true" t="shared" si="1" ref="E17:E26">D17*100/C17</f>
        <v>100</v>
      </c>
    </row>
    <row r="18" spans="1:5" ht="21" thickBot="1">
      <c r="A18" s="116" t="s">
        <v>76</v>
      </c>
      <c r="B18" s="114">
        <v>80</v>
      </c>
      <c r="C18" s="114">
        <v>42</v>
      </c>
      <c r="D18" s="127">
        <v>42</v>
      </c>
      <c r="E18" s="115">
        <f t="shared" si="1"/>
        <v>100</v>
      </c>
    </row>
    <row r="19" spans="1:5" ht="21" thickBot="1">
      <c r="A19" s="116" t="s">
        <v>79</v>
      </c>
      <c r="B19" s="114">
        <v>25</v>
      </c>
      <c r="C19" s="114">
        <v>25</v>
      </c>
      <c r="D19" s="127">
        <v>25</v>
      </c>
      <c r="E19" s="115">
        <f t="shared" si="1"/>
        <v>100</v>
      </c>
    </row>
    <row r="20" spans="1:5" ht="21" thickBot="1">
      <c r="A20" s="113" t="s">
        <v>75</v>
      </c>
      <c r="B20" s="114">
        <v>12</v>
      </c>
      <c r="C20" s="114">
        <v>7</v>
      </c>
      <c r="D20" s="127">
        <v>7</v>
      </c>
      <c r="E20" s="115">
        <f t="shared" si="1"/>
        <v>100</v>
      </c>
    </row>
    <row r="21" spans="1:5" ht="21" thickBot="1">
      <c r="A21" s="113" t="s">
        <v>78</v>
      </c>
      <c r="B21" s="114">
        <v>33</v>
      </c>
      <c r="C21" s="114">
        <v>10</v>
      </c>
      <c r="D21" s="128">
        <v>10</v>
      </c>
      <c r="E21" s="115">
        <f t="shared" si="1"/>
        <v>100</v>
      </c>
    </row>
    <row r="22" spans="1:5" ht="21" thickBot="1">
      <c r="A22" s="119" t="s">
        <v>80</v>
      </c>
      <c r="B22" s="114">
        <v>3</v>
      </c>
      <c r="C22" s="114">
        <v>3</v>
      </c>
      <c r="D22" s="127">
        <v>3</v>
      </c>
      <c r="E22" s="115">
        <f t="shared" si="1"/>
        <v>100</v>
      </c>
    </row>
    <row r="23" spans="1:5" ht="21" thickBot="1">
      <c r="A23" s="113" t="s">
        <v>74</v>
      </c>
      <c r="B23" s="129">
        <v>52</v>
      </c>
      <c r="C23" s="130">
        <v>52</v>
      </c>
      <c r="D23" s="131">
        <v>52</v>
      </c>
      <c r="E23" s="115">
        <f t="shared" si="1"/>
        <v>100</v>
      </c>
    </row>
    <row r="24" spans="1:5" ht="21" thickBot="1">
      <c r="A24" s="119" t="s">
        <v>77</v>
      </c>
      <c r="B24" s="129">
        <v>166</v>
      </c>
      <c r="C24" s="130">
        <v>166</v>
      </c>
      <c r="D24" s="131">
        <v>154</v>
      </c>
      <c r="E24" s="115">
        <f t="shared" si="1"/>
        <v>92.7710843373494</v>
      </c>
    </row>
    <row r="25" spans="1:5" ht="21" thickBot="1">
      <c r="A25" s="119" t="s">
        <v>141</v>
      </c>
      <c r="B25" s="114">
        <v>21</v>
      </c>
      <c r="C25" s="114">
        <v>5</v>
      </c>
      <c r="D25" s="127">
        <v>5</v>
      </c>
      <c r="E25" s="115">
        <f t="shared" si="1"/>
        <v>100</v>
      </c>
    </row>
    <row r="26" spans="1:5" ht="21" thickBot="1">
      <c r="A26" s="123" t="s">
        <v>88</v>
      </c>
      <c r="B26" s="120">
        <f>SUM(B16:B25)</f>
        <v>505</v>
      </c>
      <c r="C26" s="120">
        <f>SUM(C16:C25)</f>
        <v>421</v>
      </c>
      <c r="D26" s="120">
        <f>SUM(D16:D25)</f>
        <v>409</v>
      </c>
      <c r="E26" s="115">
        <f t="shared" si="1"/>
        <v>97.14964370546318</v>
      </c>
    </row>
    <row r="27" ht="28.5" customHeight="1" thickBot="1">
      <c r="A27" s="132" t="s">
        <v>184</v>
      </c>
    </row>
    <row r="28" spans="1:5" ht="41.25" thickBot="1">
      <c r="A28" s="125" t="s">
        <v>139</v>
      </c>
      <c r="B28" s="126" t="s">
        <v>67</v>
      </c>
      <c r="C28" s="126" t="s">
        <v>68</v>
      </c>
      <c r="D28" s="126" t="s">
        <v>69</v>
      </c>
      <c r="E28" s="112" t="s">
        <v>140</v>
      </c>
    </row>
    <row r="29" spans="1:5" ht="21" thickBot="1">
      <c r="A29" s="116" t="s">
        <v>16</v>
      </c>
      <c r="B29" s="117">
        <v>214</v>
      </c>
      <c r="C29" s="117">
        <v>214</v>
      </c>
      <c r="D29" s="117">
        <v>214</v>
      </c>
      <c r="E29" s="115">
        <f aca="true" t="shared" si="2" ref="E29:E39">D29*100/C29</f>
        <v>100</v>
      </c>
    </row>
    <row r="30" spans="1:5" ht="21" thickBot="1">
      <c r="A30" s="139" t="s">
        <v>15</v>
      </c>
      <c r="B30" s="117">
        <v>167</v>
      </c>
      <c r="C30" s="117">
        <v>167</v>
      </c>
      <c r="D30" s="117">
        <v>167</v>
      </c>
      <c r="E30" s="115">
        <f t="shared" si="2"/>
        <v>100</v>
      </c>
    </row>
    <row r="31" spans="1:5" ht="21" thickBot="1">
      <c r="A31" s="116" t="s">
        <v>76</v>
      </c>
      <c r="B31" s="114">
        <v>628</v>
      </c>
      <c r="C31" s="114">
        <v>377</v>
      </c>
      <c r="D31" s="127">
        <v>377</v>
      </c>
      <c r="E31" s="115">
        <f t="shared" si="2"/>
        <v>100</v>
      </c>
    </row>
    <row r="32" spans="1:5" ht="21" thickBot="1">
      <c r="A32" s="116" t="s">
        <v>79</v>
      </c>
      <c r="B32" s="114">
        <v>187</v>
      </c>
      <c r="C32" s="114">
        <v>187</v>
      </c>
      <c r="D32" s="127">
        <v>187</v>
      </c>
      <c r="E32" s="115">
        <f t="shared" si="2"/>
        <v>100</v>
      </c>
    </row>
    <row r="33" spans="1:5" ht="21" thickBot="1">
      <c r="A33" s="113" t="s">
        <v>75</v>
      </c>
      <c r="B33" s="114">
        <v>213</v>
      </c>
      <c r="C33" s="114">
        <v>97</v>
      </c>
      <c r="D33" s="127">
        <v>97</v>
      </c>
      <c r="E33" s="115">
        <f t="shared" si="2"/>
        <v>100</v>
      </c>
    </row>
    <row r="34" spans="1:5" ht="21" thickBot="1">
      <c r="A34" s="113" t="s">
        <v>78</v>
      </c>
      <c r="B34" s="114">
        <v>230</v>
      </c>
      <c r="C34" s="114">
        <v>70</v>
      </c>
      <c r="D34" s="128">
        <v>70</v>
      </c>
      <c r="E34" s="115">
        <f t="shared" si="2"/>
        <v>100</v>
      </c>
    </row>
    <row r="35" spans="1:5" ht="21" thickBot="1">
      <c r="A35" s="119" t="s">
        <v>80</v>
      </c>
      <c r="B35" s="114">
        <v>120</v>
      </c>
      <c r="C35" s="114">
        <v>16</v>
      </c>
      <c r="D35" s="127">
        <v>16</v>
      </c>
      <c r="E35" s="115">
        <f t="shared" si="2"/>
        <v>100</v>
      </c>
    </row>
    <row r="36" spans="1:5" ht="21" thickBot="1">
      <c r="A36" s="113" t="s">
        <v>74</v>
      </c>
      <c r="B36" s="129">
        <v>385</v>
      </c>
      <c r="C36" s="130">
        <v>385</v>
      </c>
      <c r="D36" s="131">
        <v>385</v>
      </c>
      <c r="E36" s="115">
        <f t="shared" si="2"/>
        <v>100</v>
      </c>
    </row>
    <row r="37" spans="1:5" ht="21" thickBot="1">
      <c r="A37" s="119" t="s">
        <v>77</v>
      </c>
      <c r="B37" s="133">
        <v>893</v>
      </c>
      <c r="C37" s="130">
        <v>859</v>
      </c>
      <c r="D37" s="131">
        <v>836</v>
      </c>
      <c r="E37" s="115">
        <f t="shared" si="2"/>
        <v>97.32246798603026</v>
      </c>
    </row>
    <row r="38" spans="1:5" ht="21" thickBot="1">
      <c r="A38" s="119" t="s">
        <v>141</v>
      </c>
      <c r="B38" s="114">
        <v>113</v>
      </c>
      <c r="C38" s="114">
        <v>93</v>
      </c>
      <c r="D38" s="127">
        <v>93</v>
      </c>
      <c r="E38" s="115">
        <f t="shared" si="2"/>
        <v>100</v>
      </c>
    </row>
    <row r="39" spans="1:5" ht="21" thickBot="1">
      <c r="A39" s="123" t="s">
        <v>88</v>
      </c>
      <c r="B39" s="120">
        <f>SUM(B29:B38)</f>
        <v>3150</v>
      </c>
      <c r="C39" s="120">
        <f>SUM(C29:C38)</f>
        <v>2465</v>
      </c>
      <c r="D39" s="120">
        <f>SUM(D29:D38)</f>
        <v>2442</v>
      </c>
      <c r="E39" s="115">
        <f t="shared" si="2"/>
        <v>99.06693711967546</v>
      </c>
    </row>
    <row r="41" ht="21" thickBot="1">
      <c r="A41" s="124" t="s">
        <v>186</v>
      </c>
    </row>
    <row r="42" spans="1:5" ht="41.25" thickBot="1">
      <c r="A42" s="125" t="s">
        <v>139</v>
      </c>
      <c r="B42" s="126" t="s">
        <v>67</v>
      </c>
      <c r="C42" s="126" t="s">
        <v>68</v>
      </c>
      <c r="D42" s="126" t="s">
        <v>69</v>
      </c>
      <c r="E42" s="112" t="s">
        <v>140</v>
      </c>
    </row>
    <row r="43" spans="1:5" ht="21" thickBot="1">
      <c r="A43" s="116" t="s">
        <v>16</v>
      </c>
      <c r="B43" s="117">
        <v>19</v>
      </c>
      <c r="C43" s="117">
        <v>19</v>
      </c>
      <c r="D43" s="117">
        <v>19</v>
      </c>
      <c r="E43" s="115">
        <f aca="true" t="shared" si="3" ref="E43:E53">D43*100/C43</f>
        <v>100</v>
      </c>
    </row>
    <row r="44" spans="1:5" ht="21" thickBot="1">
      <c r="A44" s="116" t="s">
        <v>15</v>
      </c>
      <c r="B44" s="117">
        <v>5</v>
      </c>
      <c r="C44" s="117">
        <v>5</v>
      </c>
      <c r="D44" s="117">
        <v>5</v>
      </c>
      <c r="E44" s="115">
        <f t="shared" si="3"/>
        <v>100</v>
      </c>
    </row>
    <row r="45" spans="1:5" ht="21" thickBot="1">
      <c r="A45" s="116" t="s">
        <v>76</v>
      </c>
      <c r="B45" s="117">
        <v>54</v>
      </c>
      <c r="C45" s="117">
        <v>35</v>
      </c>
      <c r="D45" s="117">
        <v>35</v>
      </c>
      <c r="E45" s="115">
        <f t="shared" si="3"/>
        <v>100</v>
      </c>
    </row>
    <row r="46" spans="1:5" ht="21" thickBot="1">
      <c r="A46" s="116" t="s">
        <v>79</v>
      </c>
      <c r="B46" s="117">
        <v>42</v>
      </c>
      <c r="C46" s="117">
        <v>42</v>
      </c>
      <c r="D46" s="117">
        <v>42</v>
      </c>
      <c r="E46" s="115">
        <f t="shared" si="3"/>
        <v>100</v>
      </c>
    </row>
    <row r="47" spans="1:5" ht="21" thickBot="1">
      <c r="A47" s="113" t="s">
        <v>75</v>
      </c>
      <c r="B47" s="117">
        <v>2</v>
      </c>
      <c r="C47" s="117">
        <v>1</v>
      </c>
      <c r="D47" s="117">
        <v>1</v>
      </c>
      <c r="E47" s="115">
        <f t="shared" si="3"/>
        <v>100</v>
      </c>
    </row>
    <row r="48" spans="1:5" ht="21" thickBot="1">
      <c r="A48" s="113" t="s">
        <v>78</v>
      </c>
      <c r="B48" s="114">
        <v>5</v>
      </c>
      <c r="C48" s="117">
        <v>2</v>
      </c>
      <c r="D48" s="131">
        <v>2</v>
      </c>
      <c r="E48" s="115">
        <f t="shared" si="3"/>
        <v>100</v>
      </c>
    </row>
    <row r="49" spans="1:5" ht="21" thickBot="1">
      <c r="A49" s="119" t="s">
        <v>80</v>
      </c>
      <c r="B49" s="114">
        <v>2</v>
      </c>
      <c r="C49" s="117">
        <v>0</v>
      </c>
      <c r="D49" s="118">
        <v>0</v>
      </c>
      <c r="E49" s="115" t="e">
        <f t="shared" si="3"/>
        <v>#DIV/0!</v>
      </c>
    </row>
    <row r="50" spans="1:5" ht="21" thickBot="1">
      <c r="A50" s="113" t="s">
        <v>74</v>
      </c>
      <c r="B50" s="129">
        <v>0</v>
      </c>
      <c r="C50" s="130">
        <v>0</v>
      </c>
      <c r="D50" s="131">
        <v>0</v>
      </c>
      <c r="E50" s="115" t="e">
        <f t="shared" si="3"/>
        <v>#DIV/0!</v>
      </c>
    </row>
    <row r="51" spans="1:5" ht="21" thickBot="1">
      <c r="A51" s="119" t="s">
        <v>77</v>
      </c>
      <c r="B51" s="129">
        <v>169</v>
      </c>
      <c r="C51" s="130">
        <v>169</v>
      </c>
      <c r="D51" s="131">
        <v>169</v>
      </c>
      <c r="E51" s="115">
        <f t="shared" si="3"/>
        <v>100</v>
      </c>
    </row>
    <row r="52" spans="1:5" ht="21" thickBot="1">
      <c r="A52" s="119" t="s">
        <v>141</v>
      </c>
      <c r="B52" s="117">
        <v>0</v>
      </c>
      <c r="C52" s="117">
        <v>0</v>
      </c>
      <c r="D52" s="117">
        <v>0</v>
      </c>
      <c r="E52" s="115" t="e">
        <f t="shared" si="3"/>
        <v>#DIV/0!</v>
      </c>
    </row>
    <row r="53" spans="1:5" ht="21" thickBot="1">
      <c r="A53" s="123" t="s">
        <v>88</v>
      </c>
      <c r="B53" s="120">
        <f>SUM(B43:B52)</f>
        <v>298</v>
      </c>
      <c r="C53" s="120">
        <f>SUM(C43:C52)</f>
        <v>273</v>
      </c>
      <c r="D53" s="120">
        <f>SUM(D43:D52)</f>
        <v>273</v>
      </c>
      <c r="E53" s="115">
        <f t="shared" si="3"/>
        <v>100</v>
      </c>
    </row>
    <row r="55" ht="21" thickBot="1">
      <c r="A55" s="124" t="s">
        <v>142</v>
      </c>
    </row>
    <row r="56" spans="1:5" ht="41.25" thickBot="1">
      <c r="A56" s="125" t="s">
        <v>139</v>
      </c>
      <c r="B56" s="126" t="s">
        <v>67</v>
      </c>
      <c r="C56" s="126" t="s">
        <v>68</v>
      </c>
      <c r="D56" s="126" t="s">
        <v>69</v>
      </c>
      <c r="E56" s="112" t="s">
        <v>140</v>
      </c>
    </row>
    <row r="57" spans="1:5" ht="21" thickBot="1">
      <c r="A57" s="116" t="s">
        <v>16</v>
      </c>
      <c r="B57" s="117">
        <v>7</v>
      </c>
      <c r="C57" s="117">
        <v>7</v>
      </c>
      <c r="D57" s="117">
        <v>7</v>
      </c>
      <c r="E57" s="115">
        <f aca="true" t="shared" si="4" ref="E57:E67">D57*100/C57</f>
        <v>100</v>
      </c>
    </row>
    <row r="58" spans="1:5" ht="21" thickBot="1">
      <c r="A58" s="139" t="s">
        <v>15</v>
      </c>
      <c r="B58" s="130">
        <v>5</v>
      </c>
      <c r="C58" s="130">
        <v>5</v>
      </c>
      <c r="D58" s="130">
        <v>5</v>
      </c>
      <c r="E58" s="115">
        <f t="shared" si="4"/>
        <v>100</v>
      </c>
    </row>
    <row r="59" spans="1:5" ht="21" thickBot="1">
      <c r="A59" s="116" t="s">
        <v>76</v>
      </c>
      <c r="B59" s="117">
        <v>20</v>
      </c>
      <c r="C59" s="117">
        <v>20</v>
      </c>
      <c r="D59" s="117">
        <v>20</v>
      </c>
      <c r="E59" s="115">
        <f t="shared" si="4"/>
        <v>100</v>
      </c>
    </row>
    <row r="60" spans="1:5" ht="21" thickBot="1">
      <c r="A60" s="116" t="s">
        <v>79</v>
      </c>
      <c r="B60" s="130">
        <v>8</v>
      </c>
      <c r="C60" s="130">
        <v>8</v>
      </c>
      <c r="D60" s="130">
        <v>8</v>
      </c>
      <c r="E60" s="115">
        <f t="shared" si="4"/>
        <v>100</v>
      </c>
    </row>
    <row r="61" spans="1:5" ht="21" thickBot="1">
      <c r="A61" s="113" t="s">
        <v>75</v>
      </c>
      <c r="B61" s="117">
        <v>1</v>
      </c>
      <c r="C61" s="117">
        <v>1</v>
      </c>
      <c r="D61" s="117">
        <v>1</v>
      </c>
      <c r="E61" s="115">
        <f t="shared" si="4"/>
        <v>100</v>
      </c>
    </row>
    <row r="62" spans="1:5" ht="21" thickBot="1">
      <c r="A62" s="113" t="s">
        <v>78</v>
      </c>
      <c r="B62" s="114">
        <v>2</v>
      </c>
      <c r="C62" s="117">
        <v>2</v>
      </c>
      <c r="D62" s="131">
        <v>2</v>
      </c>
      <c r="E62" s="115">
        <f t="shared" si="4"/>
        <v>100</v>
      </c>
    </row>
    <row r="63" spans="1:5" ht="21" thickBot="1">
      <c r="A63" s="113" t="s">
        <v>80</v>
      </c>
      <c r="B63" s="117">
        <v>0</v>
      </c>
      <c r="C63" s="117">
        <v>0</v>
      </c>
      <c r="D63" s="117">
        <v>0</v>
      </c>
      <c r="E63" s="115">
        <v>0</v>
      </c>
    </row>
    <row r="64" spans="1:5" ht="21" thickBot="1">
      <c r="A64" s="113" t="s">
        <v>74</v>
      </c>
      <c r="B64" s="129">
        <v>3</v>
      </c>
      <c r="C64" s="130">
        <v>3</v>
      </c>
      <c r="D64" s="131">
        <v>3</v>
      </c>
      <c r="E64" s="115">
        <f t="shared" si="4"/>
        <v>100</v>
      </c>
    </row>
    <row r="65" spans="1:5" ht="21" thickBot="1">
      <c r="A65" s="119" t="s">
        <v>77</v>
      </c>
      <c r="B65" s="129">
        <v>111</v>
      </c>
      <c r="C65" s="130">
        <v>111</v>
      </c>
      <c r="D65" s="131">
        <v>96</v>
      </c>
      <c r="E65" s="115">
        <f t="shared" si="4"/>
        <v>86.48648648648648</v>
      </c>
    </row>
    <row r="66" spans="1:5" ht="21" thickBot="1">
      <c r="A66" s="119" t="s">
        <v>141</v>
      </c>
      <c r="B66" s="114">
        <v>4</v>
      </c>
      <c r="C66" s="114">
        <v>2</v>
      </c>
      <c r="D66" s="127">
        <v>2</v>
      </c>
      <c r="E66" s="115">
        <f t="shared" si="4"/>
        <v>100</v>
      </c>
    </row>
    <row r="67" spans="1:5" ht="21" thickBot="1">
      <c r="A67" s="123" t="s">
        <v>88</v>
      </c>
      <c r="B67" s="120">
        <f>SUM(B57:B66)</f>
        <v>161</v>
      </c>
      <c r="C67" s="120">
        <f>SUM(C57:C66)</f>
        <v>159</v>
      </c>
      <c r="D67" s="120">
        <f>SUM(D57:D66)</f>
        <v>144</v>
      </c>
      <c r="E67" s="115">
        <f t="shared" si="4"/>
        <v>90.56603773584905</v>
      </c>
    </row>
    <row r="68" spans="1:5" ht="20.25">
      <c r="A68" s="134"/>
      <c r="B68" s="135"/>
      <c r="C68" s="135"/>
      <c r="D68" s="135"/>
      <c r="E68" s="136"/>
    </row>
    <row r="69" spans="1:5" ht="20.25">
      <c r="A69" s="134"/>
      <c r="B69" s="135"/>
      <c r="C69" s="135"/>
      <c r="D69" s="135"/>
      <c r="E69" s="136"/>
    </row>
    <row r="70" ht="21" thickBot="1">
      <c r="A70" s="124" t="s">
        <v>187</v>
      </c>
    </row>
    <row r="71" spans="1:5" ht="41.25" thickBot="1">
      <c r="A71" s="125" t="s">
        <v>139</v>
      </c>
      <c r="B71" s="126" t="s">
        <v>67</v>
      </c>
      <c r="C71" s="126" t="s">
        <v>68</v>
      </c>
      <c r="D71" s="126" t="s">
        <v>69</v>
      </c>
      <c r="E71" s="112" t="s">
        <v>140</v>
      </c>
    </row>
    <row r="72" spans="1:5" ht="21" thickBot="1">
      <c r="A72" s="116" t="s">
        <v>16</v>
      </c>
      <c r="B72" s="117">
        <v>127</v>
      </c>
      <c r="C72" s="117">
        <v>127</v>
      </c>
      <c r="D72" s="117">
        <v>127</v>
      </c>
      <c r="E72" s="137">
        <f>D72*100/C72</f>
        <v>100</v>
      </c>
    </row>
    <row r="73" spans="1:5" ht="21" thickBot="1">
      <c r="A73" s="139" t="s">
        <v>15</v>
      </c>
      <c r="B73" s="130">
        <v>230</v>
      </c>
      <c r="C73" s="130">
        <v>230</v>
      </c>
      <c r="D73" s="130">
        <v>230</v>
      </c>
      <c r="E73" s="137">
        <f aca="true" t="shared" si="5" ref="E73:E82">D73*100/C73</f>
        <v>100</v>
      </c>
    </row>
    <row r="74" spans="1:5" ht="21" thickBot="1">
      <c r="A74" s="116" t="s">
        <v>76</v>
      </c>
      <c r="B74" s="117">
        <v>347</v>
      </c>
      <c r="C74" s="117">
        <v>247</v>
      </c>
      <c r="D74" s="117">
        <v>247</v>
      </c>
      <c r="E74" s="137">
        <f t="shared" si="5"/>
        <v>100</v>
      </c>
    </row>
    <row r="75" spans="1:5" ht="21" thickBot="1">
      <c r="A75" s="116" t="s">
        <v>79</v>
      </c>
      <c r="B75" s="130">
        <v>79</v>
      </c>
      <c r="C75" s="130">
        <v>79</v>
      </c>
      <c r="D75" s="130">
        <v>79</v>
      </c>
      <c r="E75" s="137">
        <f t="shared" si="5"/>
        <v>100</v>
      </c>
    </row>
    <row r="76" spans="1:5" ht="21" thickBot="1">
      <c r="A76" s="113" t="s">
        <v>75</v>
      </c>
      <c r="B76" s="117">
        <v>69</v>
      </c>
      <c r="C76" s="117">
        <v>19</v>
      </c>
      <c r="D76" s="117">
        <v>19</v>
      </c>
      <c r="E76" s="137">
        <f t="shared" si="5"/>
        <v>100</v>
      </c>
    </row>
    <row r="77" spans="1:5" ht="21" thickBot="1">
      <c r="A77" s="113" t="s">
        <v>78</v>
      </c>
      <c r="B77" s="114">
        <v>130</v>
      </c>
      <c r="C77" s="117">
        <v>40</v>
      </c>
      <c r="D77" s="131">
        <v>40</v>
      </c>
      <c r="E77" s="137">
        <f t="shared" si="5"/>
        <v>100</v>
      </c>
    </row>
    <row r="78" spans="1:5" ht="21" thickBot="1">
      <c r="A78" s="119" t="s">
        <v>80</v>
      </c>
      <c r="B78" s="117">
        <v>45</v>
      </c>
      <c r="C78" s="117">
        <v>16</v>
      </c>
      <c r="D78" s="117">
        <v>16</v>
      </c>
      <c r="E78" s="137">
        <f t="shared" si="5"/>
        <v>100</v>
      </c>
    </row>
    <row r="79" spans="1:5" ht="21" thickBot="1">
      <c r="A79" s="113" t="s">
        <v>74</v>
      </c>
      <c r="B79" s="129" t="s">
        <v>226</v>
      </c>
      <c r="C79" s="130" t="s">
        <v>226</v>
      </c>
      <c r="D79" s="131" t="s">
        <v>226</v>
      </c>
      <c r="E79" s="137">
        <v>0</v>
      </c>
    </row>
    <row r="80" spans="1:5" ht="21" thickBot="1">
      <c r="A80" s="119" t="s">
        <v>77</v>
      </c>
      <c r="B80" s="114">
        <v>387</v>
      </c>
      <c r="C80" s="114">
        <v>387</v>
      </c>
      <c r="D80" s="114">
        <v>387</v>
      </c>
      <c r="E80" s="137">
        <f t="shared" si="5"/>
        <v>100</v>
      </c>
    </row>
    <row r="81" spans="1:5" ht="21" thickBot="1">
      <c r="A81" s="113" t="s">
        <v>141</v>
      </c>
      <c r="B81" s="114">
        <v>138</v>
      </c>
      <c r="C81" s="114">
        <v>40</v>
      </c>
      <c r="D81" s="127">
        <v>40</v>
      </c>
      <c r="E81" s="137">
        <f t="shared" si="5"/>
        <v>100</v>
      </c>
    </row>
    <row r="82" spans="1:5" ht="21" thickBot="1">
      <c r="A82" s="123" t="s">
        <v>88</v>
      </c>
      <c r="B82" s="114">
        <f>SUM(B72:B81)</f>
        <v>1552</v>
      </c>
      <c r="C82" s="114">
        <f>SUM(C72:C81)</f>
        <v>1185</v>
      </c>
      <c r="D82" s="114">
        <f>SUM(D72:D81)</f>
        <v>1185</v>
      </c>
      <c r="E82" s="137">
        <f t="shared" si="5"/>
        <v>100</v>
      </c>
    </row>
    <row r="84" ht="23.25" customHeight="1" thickBot="1">
      <c r="A84" s="132" t="s">
        <v>188</v>
      </c>
    </row>
    <row r="85" spans="1:5" ht="41.25" thickBot="1">
      <c r="A85" s="125" t="s">
        <v>139</v>
      </c>
      <c r="B85" s="126" t="s">
        <v>67</v>
      </c>
      <c r="C85" s="126" t="s">
        <v>68</v>
      </c>
      <c r="D85" s="126" t="s">
        <v>69</v>
      </c>
      <c r="E85" s="112" t="s">
        <v>140</v>
      </c>
    </row>
    <row r="86" spans="1:5" ht="21" thickBot="1">
      <c r="A86" s="116" t="s">
        <v>16</v>
      </c>
      <c r="B86" s="117">
        <v>2</v>
      </c>
      <c r="C86" s="117">
        <v>2</v>
      </c>
      <c r="D86" s="117">
        <v>2</v>
      </c>
      <c r="E86" s="137">
        <f>D86*100/C86</f>
        <v>100</v>
      </c>
    </row>
    <row r="87" spans="1:5" ht="21" thickBot="1">
      <c r="A87" s="139" t="s">
        <v>15</v>
      </c>
      <c r="B87" s="130">
        <v>6</v>
      </c>
      <c r="C87" s="130">
        <v>6</v>
      </c>
      <c r="D87" s="130">
        <v>6</v>
      </c>
      <c r="E87" s="137">
        <f aca="true" t="shared" si="6" ref="E87:E96">D87*100/C87</f>
        <v>100</v>
      </c>
    </row>
    <row r="88" spans="1:5" ht="21" thickBot="1">
      <c r="A88" s="116" t="s">
        <v>76</v>
      </c>
      <c r="B88" s="117">
        <v>9</v>
      </c>
      <c r="C88" s="117">
        <v>5</v>
      </c>
      <c r="D88" s="117">
        <v>5</v>
      </c>
      <c r="E88" s="137">
        <f t="shared" si="6"/>
        <v>100</v>
      </c>
    </row>
    <row r="89" spans="1:5" ht="21" thickBot="1">
      <c r="A89" s="116" t="s">
        <v>79</v>
      </c>
      <c r="B89" s="130">
        <v>6</v>
      </c>
      <c r="C89" s="130">
        <v>6</v>
      </c>
      <c r="D89" s="130">
        <v>6</v>
      </c>
      <c r="E89" s="137">
        <f t="shared" si="6"/>
        <v>100</v>
      </c>
    </row>
    <row r="90" spans="1:5" ht="21" thickBot="1">
      <c r="A90" s="113" t="s">
        <v>75</v>
      </c>
      <c r="B90" s="117">
        <v>2</v>
      </c>
      <c r="C90" s="117">
        <v>1</v>
      </c>
      <c r="D90" s="117">
        <v>1</v>
      </c>
      <c r="E90" s="137">
        <f t="shared" si="6"/>
        <v>100</v>
      </c>
    </row>
    <row r="91" spans="1:5" ht="21" thickBot="1">
      <c r="A91" s="113" t="s">
        <v>78</v>
      </c>
      <c r="B91" s="114">
        <v>3</v>
      </c>
      <c r="C91" s="117">
        <v>0</v>
      </c>
      <c r="D91" s="131">
        <v>0</v>
      </c>
      <c r="E91" s="137">
        <v>0</v>
      </c>
    </row>
    <row r="92" spans="1:5" ht="21" thickBot="1">
      <c r="A92" s="119" t="s">
        <v>80</v>
      </c>
      <c r="B92" s="117">
        <v>2</v>
      </c>
      <c r="C92" s="117">
        <v>2</v>
      </c>
      <c r="D92" s="117">
        <v>2</v>
      </c>
      <c r="E92" s="137">
        <f t="shared" si="6"/>
        <v>100</v>
      </c>
    </row>
    <row r="93" spans="1:5" ht="21" thickBot="1">
      <c r="A93" s="113" t="s">
        <v>74</v>
      </c>
      <c r="B93" s="129" t="s">
        <v>226</v>
      </c>
      <c r="C93" s="130" t="s">
        <v>226</v>
      </c>
      <c r="D93" s="131" t="s">
        <v>226</v>
      </c>
      <c r="E93" s="137">
        <v>0</v>
      </c>
    </row>
    <row r="94" spans="1:5" ht="21" thickBot="1">
      <c r="A94" s="119" t="s">
        <v>77</v>
      </c>
      <c r="B94" s="114">
        <v>39</v>
      </c>
      <c r="C94" s="117">
        <v>39</v>
      </c>
      <c r="D94" s="118">
        <v>39</v>
      </c>
      <c r="E94" s="137">
        <f t="shared" si="6"/>
        <v>100</v>
      </c>
    </row>
    <row r="95" spans="1:5" ht="21" thickBot="1">
      <c r="A95" s="113" t="s">
        <v>141</v>
      </c>
      <c r="B95" s="114">
        <v>8</v>
      </c>
      <c r="C95" s="114">
        <v>0</v>
      </c>
      <c r="D95" s="127">
        <v>0</v>
      </c>
      <c r="E95" s="137">
        <v>0</v>
      </c>
    </row>
    <row r="96" spans="1:5" ht="21" thickBot="1">
      <c r="A96" s="123" t="s">
        <v>88</v>
      </c>
      <c r="B96" s="114">
        <f>SUM(B86:B95)</f>
        <v>77</v>
      </c>
      <c r="C96" s="114">
        <f>SUM(C86:C95)</f>
        <v>61</v>
      </c>
      <c r="D96" s="114">
        <f>SUM(D86:D95)</f>
        <v>61</v>
      </c>
      <c r="E96" s="137">
        <f t="shared" si="6"/>
        <v>100</v>
      </c>
    </row>
  </sheetData>
  <sheetProtection/>
  <printOptions/>
  <pageMargins left="0.75" right="0.75" top="0.5" bottom="0.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3"/>
  <sheetViews>
    <sheetView zoomScale="75" zoomScaleNormal="75" zoomScalePageLayoutView="0" workbookViewId="0" topLeftCell="A1">
      <selection activeCell="B200" sqref="B200"/>
    </sheetView>
  </sheetViews>
  <sheetFormatPr defaultColWidth="9.140625" defaultRowHeight="12.75"/>
  <cols>
    <col min="1" max="1" width="13.00390625" style="99" customWidth="1"/>
    <col min="2" max="2" width="18.7109375" style="99" customWidth="1"/>
    <col min="3" max="3" width="12.00390625" style="99" customWidth="1"/>
    <col min="4" max="4" width="11.140625" style="99" customWidth="1"/>
    <col min="5" max="5" width="17.140625" style="99" customWidth="1"/>
    <col min="6" max="6" width="10.421875" style="99" customWidth="1"/>
    <col min="7" max="7" width="15.57421875" style="99" customWidth="1"/>
    <col min="8" max="8" width="14.00390625" style="99" customWidth="1"/>
    <col min="9" max="9" width="13.57421875" style="99" customWidth="1"/>
    <col min="10" max="10" width="12.7109375" style="99" customWidth="1"/>
    <col min="11" max="13" width="9.140625" style="90" customWidth="1"/>
    <col min="14" max="14" width="13.57421875" style="90" customWidth="1"/>
    <col min="15" max="16384" width="9.140625" style="90" customWidth="1"/>
  </cols>
  <sheetData>
    <row r="1" spans="1:10" ht="20.25" customHeight="1">
      <c r="A1" s="175" t="s">
        <v>166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20.25" customHeight="1">
      <c r="A2" s="89"/>
      <c r="B2" s="89"/>
      <c r="C2" s="89"/>
      <c r="D2" s="89"/>
      <c r="E2" s="89" t="s">
        <v>167</v>
      </c>
      <c r="F2" s="89"/>
      <c r="G2" s="89"/>
      <c r="H2" s="89"/>
      <c r="I2" s="89"/>
      <c r="J2" s="89"/>
    </row>
    <row r="3" spans="1:10" s="93" customFormat="1" ht="78.75">
      <c r="A3" s="91" t="s">
        <v>1</v>
      </c>
      <c r="B3" s="92" t="s">
        <v>36</v>
      </c>
      <c r="C3" s="92" t="s">
        <v>37</v>
      </c>
      <c r="D3" s="92" t="s">
        <v>38</v>
      </c>
      <c r="E3" s="92" t="s">
        <v>39</v>
      </c>
      <c r="F3" s="92" t="s">
        <v>168</v>
      </c>
      <c r="G3" s="92" t="s">
        <v>41</v>
      </c>
      <c r="H3" s="91" t="s">
        <v>169</v>
      </c>
      <c r="I3" s="91" t="s">
        <v>170</v>
      </c>
      <c r="J3" s="91" t="s">
        <v>171</v>
      </c>
    </row>
    <row r="4" spans="1:10" ht="27" customHeight="1">
      <c r="A4" s="94" t="s">
        <v>15</v>
      </c>
      <c r="B4" s="91">
        <f>17+161+24+250+500+47+81+193+18+47+43</f>
        <v>1381</v>
      </c>
      <c r="C4" s="95">
        <v>0</v>
      </c>
      <c r="D4" s="95">
        <v>0</v>
      </c>
      <c r="E4" s="91">
        <v>0</v>
      </c>
      <c r="F4" s="96">
        <v>0</v>
      </c>
      <c r="G4" s="96">
        <v>0</v>
      </c>
      <c r="H4" s="97">
        <f>50+18+47+43+47</f>
        <v>205</v>
      </c>
      <c r="I4" s="97">
        <v>0</v>
      </c>
      <c r="J4" s="97">
        <f>77+18+47+43+47</f>
        <v>232</v>
      </c>
    </row>
    <row r="5" spans="1:10" ht="27" customHeight="1">
      <c r="A5" s="94" t="s">
        <v>16</v>
      </c>
      <c r="B5" s="91">
        <f>12+47+56+2+21+17+43+43</f>
        <v>241</v>
      </c>
      <c r="C5" s="95">
        <v>0</v>
      </c>
      <c r="D5" s="95">
        <v>10</v>
      </c>
      <c r="E5" s="91">
        <v>0</v>
      </c>
      <c r="F5" s="96">
        <v>0</v>
      </c>
      <c r="G5" s="96">
        <v>1</v>
      </c>
      <c r="H5" s="97">
        <f>43+78</f>
        <v>121</v>
      </c>
      <c r="I5" s="97">
        <v>0</v>
      </c>
      <c r="J5" s="97">
        <f>43+78</f>
        <v>121</v>
      </c>
    </row>
    <row r="6" spans="1:10" ht="27" customHeight="1">
      <c r="A6" s="96" t="s">
        <v>74</v>
      </c>
      <c r="B6" s="91">
        <f>710+137</f>
        <v>847</v>
      </c>
      <c r="C6" s="95">
        <f>9+1</f>
        <v>10</v>
      </c>
      <c r="D6" s="95">
        <v>6</v>
      </c>
      <c r="E6" s="91">
        <f>3+1</f>
        <v>4</v>
      </c>
      <c r="F6" s="96">
        <v>0</v>
      </c>
      <c r="G6" s="96">
        <f>3+1</f>
        <v>4</v>
      </c>
      <c r="H6" s="97">
        <f>18+137</f>
        <v>155</v>
      </c>
      <c r="I6" s="97">
        <f>238</f>
        <v>238</v>
      </c>
      <c r="J6" s="97">
        <f>710</f>
        <v>710</v>
      </c>
    </row>
    <row r="7" spans="1:10" ht="27" customHeight="1">
      <c r="A7" s="96" t="s">
        <v>75</v>
      </c>
      <c r="B7" s="91">
        <f>30+30+30+45+30+56+85+52</f>
        <v>358</v>
      </c>
      <c r="C7" s="95">
        <v>0</v>
      </c>
      <c r="D7" s="95">
        <v>0</v>
      </c>
      <c r="E7" s="91">
        <v>0</v>
      </c>
      <c r="F7" s="96">
        <v>0</v>
      </c>
      <c r="G7" s="96">
        <v>0</v>
      </c>
      <c r="H7" s="96">
        <f>30+85+52</f>
        <v>167</v>
      </c>
      <c r="I7" s="97">
        <f>25+11</f>
        <v>36</v>
      </c>
      <c r="J7" s="97">
        <f>45+52+85</f>
        <v>182</v>
      </c>
    </row>
    <row r="8" spans="1:10" ht="27" customHeight="1">
      <c r="A8" s="94" t="s">
        <v>76</v>
      </c>
      <c r="B8" s="97">
        <v>1754</v>
      </c>
      <c r="C8" s="97">
        <v>45</v>
      </c>
      <c r="D8" s="97">
        <v>4</v>
      </c>
      <c r="E8" s="97">
        <v>0</v>
      </c>
      <c r="F8" s="97">
        <v>0</v>
      </c>
      <c r="G8" s="97">
        <v>1</v>
      </c>
      <c r="H8" s="97">
        <f>1754+513</f>
        <v>2267</v>
      </c>
      <c r="I8" s="97">
        <v>5</v>
      </c>
      <c r="J8" s="97">
        <f>1758+514</f>
        <v>2272</v>
      </c>
    </row>
    <row r="9" spans="1:10" ht="27" customHeight="1">
      <c r="A9" s="94" t="s">
        <v>77</v>
      </c>
      <c r="B9" s="97">
        <f>43+148+75+25+82+32</f>
        <v>405</v>
      </c>
      <c r="C9" s="97">
        <f>3+48+2+12</f>
        <v>65</v>
      </c>
      <c r="D9" s="97">
        <v>0</v>
      </c>
      <c r="E9" s="97">
        <v>0</v>
      </c>
      <c r="F9" s="97">
        <v>0</v>
      </c>
      <c r="G9" s="97">
        <v>1</v>
      </c>
      <c r="H9" s="97">
        <f>44+48+75+56+82</f>
        <v>305</v>
      </c>
      <c r="I9" s="97">
        <v>0</v>
      </c>
      <c r="J9" s="97">
        <f>44+48+75+56+82+1</f>
        <v>306</v>
      </c>
    </row>
    <row r="10" spans="1:10" ht="27" customHeight="1">
      <c r="A10" s="96" t="s">
        <v>78</v>
      </c>
      <c r="B10" s="97">
        <f>3+2+71</f>
        <v>76</v>
      </c>
      <c r="C10" s="97">
        <v>0</v>
      </c>
      <c r="D10" s="97">
        <v>0</v>
      </c>
      <c r="E10" s="97">
        <v>0</v>
      </c>
      <c r="F10" s="97">
        <v>0</v>
      </c>
      <c r="G10" s="97">
        <v>0</v>
      </c>
      <c r="H10" s="97">
        <f>5+17+10</f>
        <v>32</v>
      </c>
      <c r="I10" s="97">
        <v>0</v>
      </c>
      <c r="J10" s="97">
        <f>10+5+17</f>
        <v>32</v>
      </c>
    </row>
    <row r="11" spans="1:10" ht="27" customHeight="1">
      <c r="A11" s="94" t="s">
        <v>79</v>
      </c>
      <c r="B11" s="97">
        <f>23+32+28+17+23+40+5</f>
        <v>168</v>
      </c>
      <c r="C11" s="97">
        <f>6+4+3</f>
        <v>13</v>
      </c>
      <c r="D11" s="97">
        <v>1</v>
      </c>
      <c r="E11" s="97">
        <v>0</v>
      </c>
      <c r="F11" s="97">
        <v>0</v>
      </c>
      <c r="G11" s="97">
        <v>1</v>
      </c>
      <c r="H11" s="97">
        <f>12+18+17+23+14+1</f>
        <v>85</v>
      </c>
      <c r="I11" s="97">
        <f>2+2+1+3</f>
        <v>8</v>
      </c>
      <c r="J11" s="97">
        <f>32+18+22+147+40+31</f>
        <v>290</v>
      </c>
    </row>
    <row r="12" spans="1:10" ht="27" customHeight="1">
      <c r="A12" s="94" t="s">
        <v>80</v>
      </c>
      <c r="B12" s="97">
        <f>4+8+10+20+156+69</f>
        <v>267</v>
      </c>
      <c r="C12" s="97">
        <v>7</v>
      </c>
      <c r="D12" s="97">
        <v>2</v>
      </c>
      <c r="E12" s="97">
        <v>1</v>
      </c>
      <c r="F12" s="97">
        <v>0</v>
      </c>
      <c r="G12" s="97">
        <v>1</v>
      </c>
      <c r="H12" s="97">
        <f>5+4</f>
        <v>9</v>
      </c>
      <c r="I12" s="97">
        <v>4</v>
      </c>
      <c r="J12" s="97">
        <f>157+4</f>
        <v>161</v>
      </c>
    </row>
    <row r="13" spans="1:10" ht="27" customHeight="1">
      <c r="A13" s="96" t="s">
        <v>100</v>
      </c>
      <c r="B13" s="97">
        <v>91</v>
      </c>
      <c r="C13" s="97">
        <v>0</v>
      </c>
      <c r="D13" s="97">
        <v>0</v>
      </c>
      <c r="E13" s="97">
        <v>0</v>
      </c>
      <c r="F13" s="97">
        <v>0</v>
      </c>
      <c r="G13" s="97">
        <v>0</v>
      </c>
      <c r="H13" s="97">
        <v>91</v>
      </c>
      <c r="I13" s="97">
        <v>0</v>
      </c>
      <c r="J13" s="97">
        <v>51</v>
      </c>
    </row>
    <row r="14" spans="1:10" ht="30.75" customHeight="1">
      <c r="A14" s="98" t="s">
        <v>88</v>
      </c>
      <c r="B14" s="98">
        <f>SUM(B4:B13)</f>
        <v>5588</v>
      </c>
      <c r="C14" s="98">
        <f aca="true" t="shared" si="0" ref="C14:J14">SUM(C4:C13)</f>
        <v>140</v>
      </c>
      <c r="D14" s="98">
        <f t="shared" si="0"/>
        <v>23</v>
      </c>
      <c r="E14" s="98">
        <f t="shared" si="0"/>
        <v>5</v>
      </c>
      <c r="F14" s="98">
        <f t="shared" si="0"/>
        <v>0</v>
      </c>
      <c r="G14" s="98">
        <f t="shared" si="0"/>
        <v>9</v>
      </c>
      <c r="H14" s="98">
        <f t="shared" si="0"/>
        <v>3437</v>
      </c>
      <c r="I14" s="98">
        <f t="shared" si="0"/>
        <v>291</v>
      </c>
      <c r="J14" s="98">
        <f t="shared" si="0"/>
        <v>4357</v>
      </c>
    </row>
    <row r="19" ht="27" customHeight="1"/>
    <row r="20" spans="1:10" ht="26.25">
      <c r="A20" s="175" t="s">
        <v>166</v>
      </c>
      <c r="B20" s="175"/>
      <c r="C20" s="175"/>
      <c r="D20" s="175"/>
      <c r="E20" s="175"/>
      <c r="F20" s="175"/>
      <c r="G20" s="175"/>
      <c r="H20" s="175"/>
      <c r="I20" s="175"/>
      <c r="J20" s="175"/>
    </row>
    <row r="21" spans="1:10" ht="26.25">
      <c r="A21" s="89"/>
      <c r="B21" s="89"/>
      <c r="C21" s="89"/>
      <c r="D21" s="89"/>
      <c r="E21" s="89" t="s">
        <v>172</v>
      </c>
      <c r="F21" s="89"/>
      <c r="G21" s="89"/>
      <c r="H21" s="89"/>
      <c r="I21" s="89"/>
      <c r="J21" s="89"/>
    </row>
    <row r="22" spans="1:10" ht="78.75">
      <c r="A22" s="91" t="s">
        <v>1</v>
      </c>
      <c r="B22" s="92" t="s">
        <v>36</v>
      </c>
      <c r="C22" s="92" t="s">
        <v>37</v>
      </c>
      <c r="D22" s="92" t="s">
        <v>38</v>
      </c>
      <c r="E22" s="92" t="s">
        <v>39</v>
      </c>
      <c r="F22" s="92" t="s">
        <v>168</v>
      </c>
      <c r="G22" s="92" t="s">
        <v>41</v>
      </c>
      <c r="H22" s="91" t="s">
        <v>169</v>
      </c>
      <c r="I22" s="91" t="s">
        <v>170</v>
      </c>
      <c r="J22" s="91" t="s">
        <v>171</v>
      </c>
    </row>
    <row r="23" spans="1:10" ht="26.25">
      <c r="A23" s="96" t="s">
        <v>15</v>
      </c>
      <c r="B23" s="91">
        <f>17+161+24+250+500+47+81+193+18+47+43</f>
        <v>1381</v>
      </c>
      <c r="C23" s="95">
        <v>0</v>
      </c>
      <c r="D23" s="95">
        <v>0</v>
      </c>
      <c r="E23" s="91">
        <v>0</v>
      </c>
      <c r="F23" s="96">
        <v>0</v>
      </c>
      <c r="G23" s="96">
        <v>0</v>
      </c>
      <c r="H23" s="97">
        <f>50+18+47+43+47</f>
        <v>205</v>
      </c>
      <c r="I23" s="97">
        <v>0</v>
      </c>
      <c r="J23" s="97">
        <f>77+18+47+43+47</f>
        <v>232</v>
      </c>
    </row>
    <row r="24" spans="1:10" ht="26.25">
      <c r="A24" s="96" t="s">
        <v>16</v>
      </c>
      <c r="B24" s="91">
        <f>12+47+56+2+21+17+43+43</f>
        <v>241</v>
      </c>
      <c r="C24" s="95">
        <v>0</v>
      </c>
      <c r="D24" s="95">
        <v>10</v>
      </c>
      <c r="E24" s="91">
        <v>0</v>
      </c>
      <c r="F24" s="96">
        <v>0</v>
      </c>
      <c r="G24" s="96">
        <v>1</v>
      </c>
      <c r="H24" s="97">
        <f>43+78</f>
        <v>121</v>
      </c>
      <c r="I24" s="97">
        <v>0</v>
      </c>
      <c r="J24" s="97">
        <f>43+78</f>
        <v>121</v>
      </c>
    </row>
    <row r="25" spans="1:10" ht="26.25">
      <c r="A25" s="94" t="s">
        <v>74</v>
      </c>
      <c r="B25" s="91">
        <f>710+137</f>
        <v>847</v>
      </c>
      <c r="C25" s="95">
        <f>9+1</f>
        <v>10</v>
      </c>
      <c r="D25" s="95">
        <v>6</v>
      </c>
      <c r="E25" s="91">
        <f>3+1</f>
        <v>4</v>
      </c>
      <c r="F25" s="96">
        <v>0</v>
      </c>
      <c r="G25" s="96">
        <f>3+1</f>
        <v>4</v>
      </c>
      <c r="H25" s="97">
        <f>18+137</f>
        <v>155</v>
      </c>
      <c r="I25" s="97">
        <f>238</f>
        <v>238</v>
      </c>
      <c r="J25" s="97">
        <f>710</f>
        <v>710</v>
      </c>
    </row>
    <row r="26" spans="1:10" ht="26.25">
      <c r="A26" s="96" t="s">
        <v>75</v>
      </c>
      <c r="B26" s="91">
        <f>30+30+30+45+30+56+85+52</f>
        <v>358</v>
      </c>
      <c r="C26" s="95">
        <v>0</v>
      </c>
      <c r="D26" s="95">
        <v>0</v>
      </c>
      <c r="E26" s="91">
        <v>0</v>
      </c>
      <c r="F26" s="96">
        <v>0</v>
      </c>
      <c r="G26" s="96">
        <v>0</v>
      </c>
      <c r="H26" s="96">
        <f>30+85+52</f>
        <v>167</v>
      </c>
      <c r="I26" s="97">
        <f>25+11</f>
        <v>36</v>
      </c>
      <c r="J26" s="97">
        <f>45+52+85</f>
        <v>182</v>
      </c>
    </row>
    <row r="27" spans="1:10" ht="26.25">
      <c r="A27" s="96" t="s">
        <v>76</v>
      </c>
      <c r="B27" s="97">
        <v>1754</v>
      </c>
      <c r="C27" s="97">
        <v>45</v>
      </c>
      <c r="D27" s="97">
        <v>4</v>
      </c>
      <c r="E27" s="97">
        <v>0</v>
      </c>
      <c r="F27" s="97">
        <v>0</v>
      </c>
      <c r="G27" s="97">
        <v>1</v>
      </c>
      <c r="H27" s="97">
        <f>1754+513</f>
        <v>2267</v>
      </c>
      <c r="I27" s="97">
        <v>5</v>
      </c>
      <c r="J27" s="97">
        <f>1758+514</f>
        <v>2272</v>
      </c>
    </row>
    <row r="28" spans="1:10" ht="26.25">
      <c r="A28" s="96" t="s">
        <v>77</v>
      </c>
      <c r="B28" s="97">
        <f>43+148+75+25+82+32</f>
        <v>405</v>
      </c>
      <c r="C28" s="97">
        <f>3+48+2+12</f>
        <v>65</v>
      </c>
      <c r="D28" s="97">
        <v>0</v>
      </c>
      <c r="E28" s="97">
        <v>0</v>
      </c>
      <c r="F28" s="97">
        <v>0</v>
      </c>
      <c r="G28" s="97">
        <v>1</v>
      </c>
      <c r="H28" s="97">
        <f>44+48+75+56+82</f>
        <v>305</v>
      </c>
      <c r="I28" s="97">
        <v>0</v>
      </c>
      <c r="J28" s="97">
        <f>44+48+75+56+82+1</f>
        <v>306</v>
      </c>
    </row>
    <row r="29" spans="1:10" ht="26.25">
      <c r="A29" s="94" t="s">
        <v>78</v>
      </c>
      <c r="B29" s="97">
        <f>3+2+71+71</f>
        <v>147</v>
      </c>
      <c r="C29" s="97">
        <v>0</v>
      </c>
      <c r="D29" s="97">
        <v>0</v>
      </c>
      <c r="E29" s="97">
        <v>0</v>
      </c>
      <c r="F29" s="97">
        <v>0</v>
      </c>
      <c r="G29" s="97">
        <v>0</v>
      </c>
      <c r="H29" s="97">
        <f>5+17+10+20</f>
        <v>52</v>
      </c>
      <c r="I29" s="97">
        <v>0</v>
      </c>
      <c r="J29" s="97">
        <f>10+5+17+20</f>
        <v>52</v>
      </c>
    </row>
    <row r="30" spans="1:10" ht="26.25">
      <c r="A30" s="94" t="s">
        <v>79</v>
      </c>
      <c r="B30" s="97">
        <f>23+32+28+17+23+40+5+14</f>
        <v>182</v>
      </c>
      <c r="C30" s="97">
        <f>6+4+3+1</f>
        <v>14</v>
      </c>
      <c r="D30" s="97">
        <v>1</v>
      </c>
      <c r="E30" s="97">
        <v>0</v>
      </c>
      <c r="F30" s="97">
        <v>0</v>
      </c>
      <c r="G30" s="97">
        <v>1</v>
      </c>
      <c r="H30" s="97">
        <f>12+18+17+23+14+1</f>
        <v>85</v>
      </c>
      <c r="I30" s="97">
        <f>2+2+1+3</f>
        <v>8</v>
      </c>
      <c r="J30" s="97">
        <f>32+18+22+147+40+31</f>
        <v>290</v>
      </c>
    </row>
    <row r="31" spans="1:10" ht="26.25">
      <c r="A31" s="94" t="s">
        <v>80</v>
      </c>
      <c r="B31" s="97">
        <f>4+8+10+20+156+69</f>
        <v>267</v>
      </c>
      <c r="C31" s="97">
        <v>7</v>
      </c>
      <c r="D31" s="97">
        <v>2</v>
      </c>
      <c r="E31" s="97">
        <v>1</v>
      </c>
      <c r="F31" s="97">
        <v>0</v>
      </c>
      <c r="G31" s="97">
        <v>1</v>
      </c>
      <c r="H31" s="97">
        <f>5+4</f>
        <v>9</v>
      </c>
      <c r="I31" s="97">
        <v>4</v>
      </c>
      <c r="J31" s="97">
        <f>157+4</f>
        <v>161</v>
      </c>
    </row>
    <row r="32" spans="1:10" ht="26.25">
      <c r="A32" s="94" t="s">
        <v>100</v>
      </c>
      <c r="B32" s="97">
        <v>91</v>
      </c>
      <c r="C32" s="97">
        <v>0</v>
      </c>
      <c r="D32" s="97">
        <v>0</v>
      </c>
      <c r="E32" s="97">
        <v>0</v>
      </c>
      <c r="F32" s="97">
        <v>0</v>
      </c>
      <c r="G32" s="97">
        <v>0</v>
      </c>
      <c r="H32" s="97">
        <v>91</v>
      </c>
      <c r="I32" s="97">
        <v>0</v>
      </c>
      <c r="J32" s="97">
        <v>51</v>
      </c>
    </row>
    <row r="33" spans="1:10" ht="26.25">
      <c r="A33" s="98" t="s">
        <v>88</v>
      </c>
      <c r="B33" s="98">
        <f aca="true" t="shared" si="1" ref="B33:J33">SUM(B23:B32)</f>
        <v>5673</v>
      </c>
      <c r="C33" s="98">
        <f t="shared" si="1"/>
        <v>141</v>
      </c>
      <c r="D33" s="98">
        <f t="shared" si="1"/>
        <v>23</v>
      </c>
      <c r="E33" s="98">
        <f t="shared" si="1"/>
        <v>5</v>
      </c>
      <c r="F33" s="98">
        <f t="shared" si="1"/>
        <v>0</v>
      </c>
      <c r="G33" s="98">
        <f t="shared" si="1"/>
        <v>9</v>
      </c>
      <c r="H33" s="98">
        <f t="shared" si="1"/>
        <v>3457</v>
      </c>
      <c r="I33" s="98">
        <f t="shared" si="1"/>
        <v>291</v>
      </c>
      <c r="J33" s="98">
        <f t="shared" si="1"/>
        <v>4377</v>
      </c>
    </row>
    <row r="39" spans="1:10" ht="26.25">
      <c r="A39" s="175" t="s">
        <v>166</v>
      </c>
      <c r="B39" s="175"/>
      <c r="C39" s="175"/>
      <c r="D39" s="175"/>
      <c r="E39" s="175"/>
      <c r="F39" s="175"/>
      <c r="G39" s="175"/>
      <c r="H39" s="175"/>
      <c r="I39" s="175"/>
      <c r="J39" s="175"/>
    </row>
    <row r="40" spans="1:10" ht="26.25">
      <c r="A40" s="89"/>
      <c r="B40" s="89"/>
      <c r="C40" s="89"/>
      <c r="D40" s="89"/>
      <c r="E40" s="89" t="s">
        <v>173</v>
      </c>
      <c r="F40" s="89"/>
      <c r="G40" s="89"/>
      <c r="H40" s="89"/>
      <c r="I40" s="89"/>
      <c r="J40" s="89"/>
    </row>
    <row r="41" spans="1:10" ht="78.75">
      <c r="A41" s="91" t="s">
        <v>1</v>
      </c>
      <c r="B41" s="92" t="s">
        <v>36</v>
      </c>
      <c r="C41" s="92" t="s">
        <v>37</v>
      </c>
      <c r="D41" s="92" t="s">
        <v>38</v>
      </c>
      <c r="E41" s="92" t="s">
        <v>39</v>
      </c>
      <c r="F41" s="92" t="s">
        <v>168</v>
      </c>
      <c r="G41" s="92" t="s">
        <v>41</v>
      </c>
      <c r="H41" s="91" t="s">
        <v>169</v>
      </c>
      <c r="I41" s="91" t="s">
        <v>170</v>
      </c>
      <c r="J41" s="91" t="s">
        <v>171</v>
      </c>
    </row>
    <row r="42" spans="1:10" ht="26.25">
      <c r="A42" s="94" t="s">
        <v>15</v>
      </c>
      <c r="B42" s="91">
        <f>17+161+24+250+500+47+81+193+18+47+43+22</f>
        <v>1403</v>
      </c>
      <c r="C42" s="95">
        <v>0</v>
      </c>
      <c r="D42" s="95">
        <v>0</v>
      </c>
      <c r="E42" s="91">
        <v>0</v>
      </c>
      <c r="F42" s="96">
        <v>0</v>
      </c>
      <c r="G42" s="96">
        <v>0</v>
      </c>
      <c r="H42" s="97">
        <f>50+18+47+43+47+22</f>
        <v>227</v>
      </c>
      <c r="I42" s="97">
        <v>0</v>
      </c>
      <c r="J42" s="97">
        <f>77+18+47+43+47</f>
        <v>232</v>
      </c>
    </row>
    <row r="43" spans="1:10" ht="26.25">
      <c r="A43" s="96" t="s">
        <v>16</v>
      </c>
      <c r="B43" s="91">
        <f>12+47+56+2+21+17+43+43</f>
        <v>241</v>
      </c>
      <c r="C43" s="95">
        <v>0</v>
      </c>
      <c r="D43" s="95">
        <v>10</v>
      </c>
      <c r="E43" s="91">
        <v>0</v>
      </c>
      <c r="F43" s="96">
        <v>0</v>
      </c>
      <c r="G43" s="96">
        <v>1</v>
      </c>
      <c r="H43" s="97">
        <f>43+78</f>
        <v>121</v>
      </c>
      <c r="I43" s="97">
        <v>0</v>
      </c>
      <c r="J43" s="97">
        <f>43+78</f>
        <v>121</v>
      </c>
    </row>
    <row r="44" spans="1:10" ht="26.25">
      <c r="A44" s="96" t="s">
        <v>74</v>
      </c>
      <c r="B44" s="91">
        <f>710+137</f>
        <v>847</v>
      </c>
      <c r="C44" s="95">
        <f>9+1</f>
        <v>10</v>
      </c>
      <c r="D44" s="95">
        <v>6</v>
      </c>
      <c r="E44" s="91">
        <f>3+1</f>
        <v>4</v>
      </c>
      <c r="F44" s="96">
        <v>0</v>
      </c>
      <c r="G44" s="96">
        <f>3+1</f>
        <v>4</v>
      </c>
      <c r="H44" s="97">
        <f>18+137</f>
        <v>155</v>
      </c>
      <c r="I44" s="97">
        <f>238</f>
        <v>238</v>
      </c>
      <c r="J44" s="97">
        <f>710</f>
        <v>710</v>
      </c>
    </row>
    <row r="45" spans="1:10" ht="26.25">
      <c r="A45" s="94" t="s">
        <v>75</v>
      </c>
      <c r="B45" s="91">
        <f>30+30+30+45+30+56+85+52+85</f>
        <v>443</v>
      </c>
      <c r="C45" s="95">
        <v>0</v>
      </c>
      <c r="D45" s="95">
        <v>0</v>
      </c>
      <c r="E45" s="91">
        <v>0</v>
      </c>
      <c r="F45" s="96">
        <v>0</v>
      </c>
      <c r="G45" s="96">
        <v>1</v>
      </c>
      <c r="H45" s="96">
        <f>30+85+52+3</f>
        <v>170</v>
      </c>
      <c r="I45" s="97">
        <f>25+11+1</f>
        <v>37</v>
      </c>
      <c r="J45" s="97">
        <f>45+52+85+3</f>
        <v>185</v>
      </c>
    </row>
    <row r="46" spans="1:10" ht="26.25">
      <c r="A46" s="94" t="s">
        <v>76</v>
      </c>
      <c r="B46" s="97">
        <v>1754</v>
      </c>
      <c r="C46" s="97">
        <v>45</v>
      </c>
      <c r="D46" s="97">
        <v>4</v>
      </c>
      <c r="E46" s="97">
        <v>0</v>
      </c>
      <c r="F46" s="97">
        <v>0</v>
      </c>
      <c r="G46" s="97">
        <v>1</v>
      </c>
      <c r="H46" s="97">
        <v>2321</v>
      </c>
      <c r="I46" s="97">
        <v>4</v>
      </c>
      <c r="J46" s="97">
        <v>2325</v>
      </c>
    </row>
    <row r="47" spans="1:10" ht="26.25">
      <c r="A47" s="96" t="s">
        <v>77</v>
      </c>
      <c r="B47" s="97">
        <f>43+148+75+25+82+32</f>
        <v>405</v>
      </c>
      <c r="C47" s="97">
        <f>3+48+2+12</f>
        <v>65</v>
      </c>
      <c r="D47" s="97">
        <v>0</v>
      </c>
      <c r="E47" s="97">
        <v>0</v>
      </c>
      <c r="F47" s="97">
        <v>0</v>
      </c>
      <c r="G47" s="97">
        <v>1</v>
      </c>
      <c r="H47" s="97">
        <f>44+48+75+56+82</f>
        <v>305</v>
      </c>
      <c r="I47" s="97">
        <v>0</v>
      </c>
      <c r="J47" s="97">
        <f>44+48+75+56+82+1</f>
        <v>306</v>
      </c>
    </row>
    <row r="48" spans="1:10" ht="26.25">
      <c r="A48" s="96" t="s">
        <v>78</v>
      </c>
      <c r="B48" s="97">
        <f>3+2+71+71</f>
        <v>147</v>
      </c>
      <c r="C48" s="97">
        <v>0</v>
      </c>
      <c r="D48" s="97">
        <v>0</v>
      </c>
      <c r="E48" s="97">
        <v>0</v>
      </c>
      <c r="F48" s="97">
        <v>0</v>
      </c>
      <c r="G48" s="97">
        <v>0</v>
      </c>
      <c r="H48" s="97">
        <f>5+17+10+20</f>
        <v>52</v>
      </c>
      <c r="I48" s="97">
        <v>0</v>
      </c>
      <c r="J48" s="97">
        <f>10+5+17+20</f>
        <v>52</v>
      </c>
    </row>
    <row r="49" spans="1:10" ht="26.25">
      <c r="A49" s="96" t="s">
        <v>79</v>
      </c>
      <c r="B49" s="97">
        <f>23+32+28+17+23+40+5+14</f>
        <v>182</v>
      </c>
      <c r="C49" s="97">
        <f>6+4+3+1</f>
        <v>14</v>
      </c>
      <c r="D49" s="97">
        <v>1</v>
      </c>
      <c r="E49" s="97">
        <v>0</v>
      </c>
      <c r="F49" s="97">
        <v>0</v>
      </c>
      <c r="G49" s="97">
        <v>1</v>
      </c>
      <c r="H49" s="97">
        <f>12+18+17+23+14+1</f>
        <v>85</v>
      </c>
      <c r="I49" s="97">
        <f>2+2+1+3</f>
        <v>8</v>
      </c>
      <c r="J49" s="97">
        <f>32+18+22+147+40+31</f>
        <v>290</v>
      </c>
    </row>
    <row r="50" spans="1:10" ht="26.25">
      <c r="A50" s="94" t="s">
        <v>80</v>
      </c>
      <c r="B50" s="97">
        <f>4+8+10+20+156+69</f>
        <v>267</v>
      </c>
      <c r="C50" s="97">
        <v>7</v>
      </c>
      <c r="D50" s="97">
        <v>2</v>
      </c>
      <c r="E50" s="97">
        <v>1</v>
      </c>
      <c r="F50" s="97">
        <v>0</v>
      </c>
      <c r="G50" s="97">
        <v>1</v>
      </c>
      <c r="H50" s="97">
        <f>5+4</f>
        <v>9</v>
      </c>
      <c r="I50" s="97">
        <v>4</v>
      </c>
      <c r="J50" s="97">
        <f>157+4</f>
        <v>161</v>
      </c>
    </row>
    <row r="51" spans="1:10" ht="26.25">
      <c r="A51" s="94" t="s">
        <v>100</v>
      </c>
      <c r="B51" s="97">
        <v>93</v>
      </c>
      <c r="C51" s="97">
        <v>0</v>
      </c>
      <c r="D51" s="97">
        <v>0</v>
      </c>
      <c r="E51" s="97">
        <v>0</v>
      </c>
      <c r="F51" s="97">
        <v>0</v>
      </c>
      <c r="G51" s="97">
        <v>0</v>
      </c>
      <c r="H51" s="97">
        <v>93</v>
      </c>
      <c r="I51" s="97">
        <v>0</v>
      </c>
      <c r="J51" s="97">
        <v>93</v>
      </c>
    </row>
    <row r="52" spans="1:10" ht="26.25">
      <c r="A52" s="98" t="s">
        <v>88</v>
      </c>
      <c r="B52" s="98">
        <f aca="true" t="shared" si="2" ref="B52:J52">SUM(B42:B51)</f>
        <v>5782</v>
      </c>
      <c r="C52" s="98">
        <f t="shared" si="2"/>
        <v>141</v>
      </c>
      <c r="D52" s="98">
        <f t="shared" si="2"/>
        <v>23</v>
      </c>
      <c r="E52" s="98">
        <f t="shared" si="2"/>
        <v>5</v>
      </c>
      <c r="F52" s="98">
        <f t="shared" si="2"/>
        <v>0</v>
      </c>
      <c r="G52" s="98">
        <f t="shared" si="2"/>
        <v>10</v>
      </c>
      <c r="H52" s="98">
        <f t="shared" si="2"/>
        <v>3538</v>
      </c>
      <c r="I52" s="98">
        <f t="shared" si="2"/>
        <v>291</v>
      </c>
      <c r="J52" s="98">
        <f t="shared" si="2"/>
        <v>4475</v>
      </c>
    </row>
    <row r="58" spans="1:10" ht="26.25">
      <c r="A58" s="175" t="s">
        <v>166</v>
      </c>
      <c r="B58" s="175"/>
      <c r="C58" s="175"/>
      <c r="D58" s="175"/>
      <c r="E58" s="175"/>
      <c r="F58" s="175"/>
      <c r="G58" s="175"/>
      <c r="H58" s="175"/>
      <c r="I58" s="175"/>
      <c r="J58" s="175"/>
    </row>
    <row r="59" spans="1:10" ht="26.25">
      <c r="A59" s="89"/>
      <c r="B59" s="89"/>
      <c r="C59" s="89"/>
      <c r="D59" s="89"/>
      <c r="E59" s="89" t="s">
        <v>174</v>
      </c>
      <c r="F59" s="89"/>
      <c r="G59" s="89"/>
      <c r="H59" s="89"/>
      <c r="I59" s="89"/>
      <c r="J59" s="89"/>
    </row>
    <row r="60" spans="1:10" ht="78.75">
      <c r="A60" s="91" t="s">
        <v>1</v>
      </c>
      <c r="B60" s="92" t="s">
        <v>36</v>
      </c>
      <c r="C60" s="92" t="s">
        <v>37</v>
      </c>
      <c r="D60" s="92" t="s">
        <v>38</v>
      </c>
      <c r="E60" s="92" t="s">
        <v>39</v>
      </c>
      <c r="F60" s="92" t="s">
        <v>168</v>
      </c>
      <c r="G60" s="92" t="s">
        <v>41</v>
      </c>
      <c r="H60" s="91" t="s">
        <v>169</v>
      </c>
      <c r="I60" s="91" t="s">
        <v>170</v>
      </c>
      <c r="J60" s="91" t="s">
        <v>171</v>
      </c>
    </row>
    <row r="61" spans="1:10" ht="26.25">
      <c r="A61" s="94" t="s">
        <v>15</v>
      </c>
      <c r="B61" s="91">
        <f>17+161+24+250+500+47+81+193+18+47+43+22+12</f>
        <v>1415</v>
      </c>
      <c r="C61" s="95">
        <v>0</v>
      </c>
      <c r="D61" s="95">
        <v>0</v>
      </c>
      <c r="E61" s="91">
        <v>0</v>
      </c>
      <c r="F61" s="96">
        <v>0</v>
      </c>
      <c r="G61" s="96">
        <v>0</v>
      </c>
      <c r="H61" s="97">
        <f>50+18+47+43+47+22+12</f>
        <v>239</v>
      </c>
      <c r="I61" s="97">
        <v>0</v>
      </c>
      <c r="J61" s="97">
        <f>77+18+47+43+47</f>
        <v>232</v>
      </c>
    </row>
    <row r="62" spans="1:10" ht="26.25">
      <c r="A62" s="96" t="s">
        <v>16</v>
      </c>
      <c r="B62" s="91">
        <f>12+47+56+2+21+17+43+43</f>
        <v>241</v>
      </c>
      <c r="C62" s="95">
        <v>0</v>
      </c>
      <c r="D62" s="95">
        <v>10</v>
      </c>
      <c r="E62" s="91">
        <v>0</v>
      </c>
      <c r="F62" s="96">
        <v>0</v>
      </c>
      <c r="G62" s="96">
        <v>1</v>
      </c>
      <c r="H62" s="97">
        <f>43+78</f>
        <v>121</v>
      </c>
      <c r="I62" s="97">
        <v>0</v>
      </c>
      <c r="J62" s="97">
        <f>43+78</f>
        <v>121</v>
      </c>
    </row>
    <row r="63" spans="1:10" ht="26.25">
      <c r="A63" s="94" t="s">
        <v>74</v>
      </c>
      <c r="B63" s="91">
        <f>710+137+2</f>
        <v>849</v>
      </c>
      <c r="C63" s="95">
        <f>9+1+2</f>
        <v>12</v>
      </c>
      <c r="D63" s="95">
        <v>6</v>
      </c>
      <c r="E63" s="91">
        <f>3+1</f>
        <v>4</v>
      </c>
      <c r="F63" s="96">
        <v>0</v>
      </c>
      <c r="G63" s="96">
        <f>3+1</f>
        <v>4</v>
      </c>
      <c r="H63" s="97">
        <f>18+137+2</f>
        <v>157</v>
      </c>
      <c r="I63" s="97">
        <f>238+2</f>
        <v>240</v>
      </c>
      <c r="J63" s="97">
        <f>710</f>
        <v>710</v>
      </c>
    </row>
    <row r="64" spans="1:10" ht="26.25">
      <c r="A64" s="96" t="s">
        <v>75</v>
      </c>
      <c r="B64" s="91">
        <f>30+30+30+45+30+56+85+52+85</f>
        <v>443</v>
      </c>
      <c r="C64" s="95">
        <v>0</v>
      </c>
      <c r="D64" s="95">
        <v>0</v>
      </c>
      <c r="E64" s="91">
        <v>0</v>
      </c>
      <c r="F64" s="96">
        <v>0</v>
      </c>
      <c r="G64" s="96">
        <v>1</v>
      </c>
      <c r="H64" s="96">
        <f>30+85+52+3</f>
        <v>170</v>
      </c>
      <c r="I64" s="97">
        <f>25+11+1</f>
        <v>37</v>
      </c>
      <c r="J64" s="97">
        <f>45+52+85+3</f>
        <v>185</v>
      </c>
    </row>
    <row r="65" spans="1:10" ht="26.25">
      <c r="A65" s="96" t="s">
        <v>76</v>
      </c>
      <c r="B65" s="97">
        <v>1754</v>
      </c>
      <c r="C65" s="97">
        <v>45</v>
      </c>
      <c r="D65" s="97">
        <v>4</v>
      </c>
      <c r="E65" s="97">
        <v>0</v>
      </c>
      <c r="F65" s="97">
        <v>0</v>
      </c>
      <c r="G65" s="97">
        <v>1</v>
      </c>
      <c r="H65" s="97">
        <v>2321</v>
      </c>
      <c r="I65" s="97">
        <v>4</v>
      </c>
      <c r="J65" s="97">
        <v>2325</v>
      </c>
    </row>
    <row r="66" spans="1:10" ht="26.25">
      <c r="A66" s="94" t="s">
        <v>77</v>
      </c>
      <c r="B66" s="97">
        <f>43+148+75+25+82+32+48</f>
        <v>453</v>
      </c>
      <c r="C66" s="97">
        <f>3+48+2+12+1</f>
        <v>66</v>
      </c>
      <c r="D66" s="97">
        <v>1</v>
      </c>
      <c r="E66" s="97">
        <v>0</v>
      </c>
      <c r="F66" s="97">
        <v>0</v>
      </c>
      <c r="G66" s="97">
        <v>1</v>
      </c>
      <c r="H66" s="97">
        <f>44+48+75+56+82+48</f>
        <v>353</v>
      </c>
      <c r="I66" s="97">
        <v>2</v>
      </c>
      <c r="J66" s="97">
        <f>44+48+75+56+82+1+48</f>
        <v>354</v>
      </c>
    </row>
    <row r="67" spans="1:10" ht="26.25">
      <c r="A67" s="94" t="s">
        <v>78</v>
      </c>
      <c r="B67" s="97">
        <f>3+2+71+71+20</f>
        <v>167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f>5+17+10+20+20</f>
        <v>72</v>
      </c>
      <c r="I67" s="97">
        <v>0</v>
      </c>
      <c r="J67" s="97">
        <f>10+5+17+20+20</f>
        <v>72</v>
      </c>
    </row>
    <row r="68" spans="1:10" ht="26.25">
      <c r="A68" s="96" t="s">
        <v>79</v>
      </c>
      <c r="B68" s="97">
        <f>23+32+28+17+23+40+5+14</f>
        <v>182</v>
      </c>
      <c r="C68" s="97">
        <f>6+4+3+1</f>
        <v>14</v>
      </c>
      <c r="D68" s="97">
        <v>1</v>
      </c>
      <c r="E68" s="97">
        <v>0</v>
      </c>
      <c r="F68" s="97">
        <v>0</v>
      </c>
      <c r="G68" s="97">
        <v>1</v>
      </c>
      <c r="H68" s="97">
        <f>12+18+17+23+14+1</f>
        <v>85</v>
      </c>
      <c r="I68" s="97">
        <f>2+2+1+3</f>
        <v>8</v>
      </c>
      <c r="J68" s="97">
        <f>32+18+22+147+40+31</f>
        <v>290</v>
      </c>
    </row>
    <row r="69" spans="1:10" ht="26.25">
      <c r="A69" s="94" t="s">
        <v>80</v>
      </c>
      <c r="B69" s="97">
        <f>4+8+10+20+156+69+67</f>
        <v>334</v>
      </c>
      <c r="C69" s="97">
        <f>7+1</f>
        <v>8</v>
      </c>
      <c r="D69" s="97">
        <f>2+1</f>
        <v>3</v>
      </c>
      <c r="E69" s="97">
        <v>1</v>
      </c>
      <c r="F69" s="97">
        <v>0</v>
      </c>
      <c r="G69" s="97">
        <v>1</v>
      </c>
      <c r="H69" s="97">
        <f>5+4+1</f>
        <v>10</v>
      </c>
      <c r="I69" s="97">
        <v>4</v>
      </c>
      <c r="J69" s="97">
        <f>157+4+67</f>
        <v>228</v>
      </c>
    </row>
    <row r="70" spans="1:10" ht="26.25">
      <c r="A70" s="96" t="s">
        <v>100</v>
      </c>
      <c r="B70" s="97">
        <v>93</v>
      </c>
      <c r="C70" s="97">
        <v>0</v>
      </c>
      <c r="D70" s="97">
        <v>0</v>
      </c>
      <c r="E70" s="97">
        <v>0</v>
      </c>
      <c r="F70" s="97">
        <v>0</v>
      </c>
      <c r="G70" s="97">
        <v>0</v>
      </c>
      <c r="H70" s="97">
        <v>93</v>
      </c>
      <c r="I70" s="97">
        <v>0</v>
      </c>
      <c r="J70" s="97">
        <v>93</v>
      </c>
    </row>
    <row r="71" spans="1:10" ht="26.25">
      <c r="A71" s="98" t="s">
        <v>88</v>
      </c>
      <c r="B71" s="98">
        <f aca="true" t="shared" si="3" ref="B71:J71">SUM(B61:B70)</f>
        <v>5931</v>
      </c>
      <c r="C71" s="98">
        <f t="shared" si="3"/>
        <v>145</v>
      </c>
      <c r="D71" s="98">
        <f t="shared" si="3"/>
        <v>25</v>
      </c>
      <c r="E71" s="98">
        <f t="shared" si="3"/>
        <v>5</v>
      </c>
      <c r="F71" s="98">
        <f t="shared" si="3"/>
        <v>0</v>
      </c>
      <c r="G71" s="98">
        <f t="shared" si="3"/>
        <v>10</v>
      </c>
      <c r="H71" s="98">
        <f t="shared" si="3"/>
        <v>3621</v>
      </c>
      <c r="I71" s="98">
        <f t="shared" si="3"/>
        <v>295</v>
      </c>
      <c r="J71" s="98">
        <f t="shared" si="3"/>
        <v>4610</v>
      </c>
    </row>
    <row r="77" spans="1:10" ht="26.25">
      <c r="A77" s="175" t="s">
        <v>176</v>
      </c>
      <c r="B77" s="175"/>
      <c r="C77" s="175"/>
      <c r="D77" s="175"/>
      <c r="E77" s="175"/>
      <c r="F77" s="175"/>
      <c r="G77" s="175"/>
      <c r="H77" s="175"/>
      <c r="I77" s="175"/>
      <c r="J77" s="175"/>
    </row>
    <row r="78" spans="1:10" ht="26.25">
      <c r="A78" s="89"/>
      <c r="B78" s="89"/>
      <c r="C78" s="89"/>
      <c r="D78" s="89"/>
      <c r="E78" s="89" t="s">
        <v>175</v>
      </c>
      <c r="F78" s="89"/>
      <c r="G78" s="89"/>
      <c r="H78" s="89"/>
      <c r="I78" s="89"/>
      <c r="J78" s="89"/>
    </row>
    <row r="79" spans="1:10" ht="83.25" customHeight="1">
      <c r="A79" s="91" t="s">
        <v>1</v>
      </c>
      <c r="B79" s="92" t="s">
        <v>36</v>
      </c>
      <c r="C79" s="92" t="s">
        <v>37</v>
      </c>
      <c r="D79" s="92" t="s">
        <v>38</v>
      </c>
      <c r="E79" s="92" t="s">
        <v>39</v>
      </c>
      <c r="F79" s="92" t="s">
        <v>168</v>
      </c>
      <c r="G79" s="92" t="s">
        <v>41</v>
      </c>
      <c r="H79" s="91" t="s">
        <v>169</v>
      </c>
      <c r="I79" s="91" t="s">
        <v>170</v>
      </c>
      <c r="J79" s="91" t="s">
        <v>171</v>
      </c>
    </row>
    <row r="80" spans="1:10" ht="26.25">
      <c r="A80" s="94" t="s">
        <v>15</v>
      </c>
      <c r="B80" s="91">
        <f>17+161+24+250+500+47+81+193+18+47+43+22+12</f>
        <v>1415</v>
      </c>
      <c r="C80" s="95">
        <v>0</v>
      </c>
      <c r="D80" s="95">
        <v>0</v>
      </c>
      <c r="E80" s="91">
        <v>0</v>
      </c>
      <c r="F80" s="96">
        <v>0</v>
      </c>
      <c r="G80" s="96">
        <v>0</v>
      </c>
      <c r="H80" s="97">
        <f>50+18+47+43+47+22+12+8</f>
        <v>247</v>
      </c>
      <c r="I80" s="97">
        <v>0</v>
      </c>
      <c r="J80" s="97">
        <f>77+18+47+43+47</f>
        <v>232</v>
      </c>
    </row>
    <row r="81" spans="1:10" ht="26.25">
      <c r="A81" s="96" t="s">
        <v>16</v>
      </c>
      <c r="B81" s="91">
        <f>12+47+56+2+21+17+43+43</f>
        <v>241</v>
      </c>
      <c r="C81" s="95">
        <v>0</v>
      </c>
      <c r="D81" s="95">
        <v>10</v>
      </c>
      <c r="E81" s="91">
        <v>0</v>
      </c>
      <c r="F81" s="96">
        <v>0</v>
      </c>
      <c r="G81" s="96">
        <v>1</v>
      </c>
      <c r="H81" s="97">
        <f>43+78</f>
        <v>121</v>
      </c>
      <c r="I81" s="97">
        <v>0</v>
      </c>
      <c r="J81" s="97">
        <f>43+78</f>
        <v>121</v>
      </c>
    </row>
    <row r="82" spans="1:10" ht="26.25">
      <c r="A82" s="96" t="s">
        <v>74</v>
      </c>
      <c r="B82" s="91">
        <f>710+137+2</f>
        <v>849</v>
      </c>
      <c r="C82" s="95">
        <f>9+1+2</f>
        <v>12</v>
      </c>
      <c r="D82" s="95">
        <v>6</v>
      </c>
      <c r="E82" s="91">
        <f>3+1</f>
        <v>4</v>
      </c>
      <c r="F82" s="96">
        <v>0</v>
      </c>
      <c r="G82" s="96">
        <f>3+1</f>
        <v>4</v>
      </c>
      <c r="H82" s="97">
        <f>18+137+2+2</f>
        <v>159</v>
      </c>
      <c r="I82" s="97">
        <f>238+2</f>
        <v>240</v>
      </c>
      <c r="J82" s="97">
        <f>710+70</f>
        <v>780</v>
      </c>
    </row>
    <row r="83" spans="1:10" ht="26.25">
      <c r="A83" s="94" t="s">
        <v>75</v>
      </c>
      <c r="B83" s="91">
        <f>30+30+30+45+30+56+85+52+85</f>
        <v>443</v>
      </c>
      <c r="C83" s="95">
        <v>0</v>
      </c>
      <c r="D83" s="95">
        <v>0</v>
      </c>
      <c r="E83" s="91">
        <v>0</v>
      </c>
      <c r="F83" s="96">
        <v>0</v>
      </c>
      <c r="G83" s="96">
        <v>1</v>
      </c>
      <c r="H83" s="96">
        <f>30+85+52+3+13</f>
        <v>183</v>
      </c>
      <c r="I83" s="97">
        <f>25+11+1+1</f>
        <v>38</v>
      </c>
      <c r="J83" s="97">
        <f>45+52+85+3+12</f>
        <v>197</v>
      </c>
    </row>
    <row r="84" spans="1:10" ht="26.25">
      <c r="A84" s="94" t="s">
        <v>76</v>
      </c>
      <c r="B84" s="97">
        <v>1754</v>
      </c>
      <c r="C84" s="97">
        <v>45</v>
      </c>
      <c r="D84" s="97">
        <v>4</v>
      </c>
      <c r="E84" s="97">
        <v>0</v>
      </c>
      <c r="F84" s="97">
        <v>0</v>
      </c>
      <c r="G84" s="97">
        <v>1</v>
      </c>
      <c r="H84" s="97">
        <v>2321</v>
      </c>
      <c r="I84" s="97">
        <v>4</v>
      </c>
      <c r="J84" s="97">
        <v>2325</v>
      </c>
    </row>
    <row r="85" spans="1:10" ht="26.25">
      <c r="A85" s="96" t="s">
        <v>77</v>
      </c>
      <c r="B85" s="97">
        <f>43+148+75+25+82+32+48</f>
        <v>453</v>
      </c>
      <c r="C85" s="97">
        <f>3+48+2+12+1</f>
        <v>66</v>
      </c>
      <c r="D85" s="97">
        <v>1</v>
      </c>
      <c r="E85" s="97">
        <v>0</v>
      </c>
      <c r="F85" s="97">
        <v>0</v>
      </c>
      <c r="G85" s="97">
        <v>1</v>
      </c>
      <c r="H85" s="97">
        <f>44+48+75+56+82+48+15</f>
        <v>368</v>
      </c>
      <c r="I85" s="97">
        <v>2</v>
      </c>
      <c r="J85" s="97">
        <f>44+48+75+56+82+1+48+20</f>
        <v>374</v>
      </c>
    </row>
    <row r="86" spans="1:10" ht="26.25">
      <c r="A86" s="94" t="s">
        <v>78</v>
      </c>
      <c r="B86" s="97">
        <f>3+2+71+71+20+15</f>
        <v>182</v>
      </c>
      <c r="C86" s="97">
        <v>0</v>
      </c>
      <c r="D86" s="97">
        <v>0</v>
      </c>
      <c r="E86" s="97">
        <v>0</v>
      </c>
      <c r="F86" s="97">
        <v>0</v>
      </c>
      <c r="G86" s="97">
        <v>0</v>
      </c>
      <c r="H86" s="97">
        <f>5+17+10+20+20+15+14</f>
        <v>101</v>
      </c>
      <c r="I86" s="97">
        <v>1</v>
      </c>
      <c r="J86" s="97">
        <f>10+5+17+20+20+20+15</f>
        <v>107</v>
      </c>
    </row>
    <row r="87" spans="1:10" ht="26.25">
      <c r="A87" s="96" t="s">
        <v>79</v>
      </c>
      <c r="B87" s="97">
        <f>23+32+28+17+23+40+5+14</f>
        <v>182</v>
      </c>
      <c r="C87" s="97">
        <f>6+4+3+1</f>
        <v>14</v>
      </c>
      <c r="D87" s="97">
        <v>1</v>
      </c>
      <c r="E87" s="97">
        <v>0</v>
      </c>
      <c r="F87" s="97">
        <v>0</v>
      </c>
      <c r="G87" s="97">
        <v>1</v>
      </c>
      <c r="H87" s="97">
        <f>12+18+17+23+14+1</f>
        <v>85</v>
      </c>
      <c r="I87" s="97">
        <f>2+2+1+3</f>
        <v>8</v>
      </c>
      <c r="J87" s="97">
        <f>32+18+22+147+40+31</f>
        <v>290</v>
      </c>
    </row>
    <row r="88" spans="1:10" ht="26.25">
      <c r="A88" s="94" t="s">
        <v>80</v>
      </c>
      <c r="B88" s="97">
        <f>4+8+10+20+156+69+67</f>
        <v>334</v>
      </c>
      <c r="C88" s="97">
        <f>7+1</f>
        <v>8</v>
      </c>
      <c r="D88" s="97">
        <f>2+1</f>
        <v>3</v>
      </c>
      <c r="E88" s="97">
        <v>1</v>
      </c>
      <c r="F88" s="97">
        <v>0</v>
      </c>
      <c r="G88" s="97">
        <v>1</v>
      </c>
      <c r="H88" s="97">
        <f>5+4+1</f>
        <v>10</v>
      </c>
      <c r="I88" s="97">
        <v>4</v>
      </c>
      <c r="J88" s="97">
        <f>157+4+67</f>
        <v>228</v>
      </c>
    </row>
    <row r="89" spans="1:10" ht="26.25">
      <c r="A89" s="96" t="s">
        <v>100</v>
      </c>
      <c r="B89" s="97">
        <v>93</v>
      </c>
      <c r="C89" s="97">
        <v>0</v>
      </c>
      <c r="D89" s="97">
        <v>0</v>
      </c>
      <c r="E89" s="97">
        <v>0</v>
      </c>
      <c r="F89" s="97">
        <v>0</v>
      </c>
      <c r="G89" s="97">
        <v>0</v>
      </c>
      <c r="H89" s="97">
        <v>93</v>
      </c>
      <c r="I89" s="97">
        <v>0</v>
      </c>
      <c r="J89" s="97">
        <v>93</v>
      </c>
    </row>
    <row r="90" spans="1:10" ht="26.25">
      <c r="A90" s="98" t="s">
        <v>88</v>
      </c>
      <c r="B90" s="98">
        <f aca="true" t="shared" si="4" ref="B90:J90">SUM(B80:B89)</f>
        <v>5946</v>
      </c>
      <c r="C90" s="98">
        <f t="shared" si="4"/>
        <v>145</v>
      </c>
      <c r="D90" s="98">
        <f t="shared" si="4"/>
        <v>25</v>
      </c>
      <c r="E90" s="98">
        <f t="shared" si="4"/>
        <v>5</v>
      </c>
      <c r="F90" s="98">
        <f t="shared" si="4"/>
        <v>0</v>
      </c>
      <c r="G90" s="98">
        <f t="shared" si="4"/>
        <v>10</v>
      </c>
      <c r="H90" s="98">
        <f t="shared" si="4"/>
        <v>3688</v>
      </c>
      <c r="I90" s="98">
        <f t="shared" si="4"/>
        <v>297</v>
      </c>
      <c r="J90" s="98">
        <f t="shared" si="4"/>
        <v>4747</v>
      </c>
    </row>
    <row r="96" spans="1:10" ht="26.25">
      <c r="A96" s="175" t="s">
        <v>176</v>
      </c>
      <c r="B96" s="175"/>
      <c r="C96" s="175"/>
      <c r="D96" s="175"/>
      <c r="E96" s="175"/>
      <c r="F96" s="175"/>
      <c r="G96" s="175"/>
      <c r="H96" s="175"/>
      <c r="I96" s="175"/>
      <c r="J96" s="175"/>
    </row>
    <row r="97" spans="1:10" ht="26.25">
      <c r="A97" s="89"/>
      <c r="B97" s="89"/>
      <c r="C97" s="89"/>
      <c r="D97" s="89"/>
      <c r="E97" s="89" t="s">
        <v>203</v>
      </c>
      <c r="F97" s="89"/>
      <c r="G97" s="89"/>
      <c r="H97" s="89"/>
      <c r="I97" s="89"/>
      <c r="J97" s="89"/>
    </row>
    <row r="98" spans="1:10" ht="78.75">
      <c r="A98" s="91" t="s">
        <v>1</v>
      </c>
      <c r="B98" s="92" t="s">
        <v>36</v>
      </c>
      <c r="C98" s="92" t="s">
        <v>37</v>
      </c>
      <c r="D98" s="92" t="s">
        <v>38</v>
      </c>
      <c r="E98" s="92" t="s">
        <v>39</v>
      </c>
      <c r="F98" s="92" t="s">
        <v>168</v>
      </c>
      <c r="G98" s="92" t="s">
        <v>41</v>
      </c>
      <c r="H98" s="91" t="s">
        <v>169</v>
      </c>
      <c r="I98" s="91" t="s">
        <v>170</v>
      </c>
      <c r="J98" s="91" t="s">
        <v>171</v>
      </c>
    </row>
    <row r="99" spans="1:10" ht="26.25">
      <c r="A99" s="94" t="s">
        <v>15</v>
      </c>
      <c r="B99" s="91">
        <f>17+161+24+250+500+47+81+193+18+47+43+22+12+6</f>
        <v>1421</v>
      </c>
      <c r="C99" s="95">
        <v>0</v>
      </c>
      <c r="D99" s="95">
        <v>0</v>
      </c>
      <c r="E99" s="91">
        <v>0</v>
      </c>
      <c r="F99" s="96">
        <v>0</v>
      </c>
      <c r="G99" s="96">
        <v>0</v>
      </c>
      <c r="H99" s="97">
        <f>50+18+47+43+47+22+12+8+6</f>
        <v>253</v>
      </c>
      <c r="I99" s="97">
        <v>0</v>
      </c>
      <c r="J99" s="97">
        <f>77+18+47+43+47</f>
        <v>232</v>
      </c>
    </row>
    <row r="100" spans="1:10" ht="26.25">
      <c r="A100" s="94" t="s">
        <v>16</v>
      </c>
      <c r="B100" s="91">
        <f>12+47+56+2+21+17+43+43+22</f>
        <v>263</v>
      </c>
      <c r="C100" s="95">
        <v>0</v>
      </c>
      <c r="D100" s="95">
        <v>10</v>
      </c>
      <c r="E100" s="91">
        <v>0</v>
      </c>
      <c r="F100" s="96">
        <v>0</v>
      </c>
      <c r="G100" s="96">
        <v>1</v>
      </c>
      <c r="H100" s="97">
        <f>43+78+22</f>
        <v>143</v>
      </c>
      <c r="I100" s="97">
        <v>0</v>
      </c>
      <c r="J100" s="97">
        <f>43+78+22</f>
        <v>143</v>
      </c>
    </row>
    <row r="101" spans="1:10" ht="26.25">
      <c r="A101" s="94" t="s">
        <v>74</v>
      </c>
      <c r="B101" s="91">
        <f>710+137+2</f>
        <v>849</v>
      </c>
      <c r="C101" s="95">
        <f>9+1+2</f>
        <v>12</v>
      </c>
      <c r="D101" s="95">
        <v>6</v>
      </c>
      <c r="E101" s="91">
        <f>3+1</f>
        <v>4</v>
      </c>
      <c r="F101" s="96">
        <v>0</v>
      </c>
      <c r="G101" s="96">
        <f>3+1</f>
        <v>4</v>
      </c>
      <c r="H101" s="97">
        <f>18+137+2+2</f>
        <v>159</v>
      </c>
      <c r="I101" s="97">
        <f>238+2</f>
        <v>240</v>
      </c>
      <c r="J101" s="97">
        <f>710+70</f>
        <v>780</v>
      </c>
    </row>
    <row r="102" spans="1:10" ht="26.25">
      <c r="A102" s="96" t="s">
        <v>75</v>
      </c>
      <c r="B102" s="91">
        <f>30+30+30+45+30+56+85+52+85</f>
        <v>443</v>
      </c>
      <c r="C102" s="95">
        <v>0</v>
      </c>
      <c r="D102" s="95">
        <v>0</v>
      </c>
      <c r="E102" s="91">
        <v>0</v>
      </c>
      <c r="F102" s="96">
        <v>0</v>
      </c>
      <c r="G102" s="96">
        <v>1</v>
      </c>
      <c r="H102" s="96">
        <f>30+85+52+3+13</f>
        <v>183</v>
      </c>
      <c r="I102" s="97">
        <f>25+11+1+1</f>
        <v>38</v>
      </c>
      <c r="J102" s="97">
        <f>45+52+85+3+12</f>
        <v>197</v>
      </c>
    </row>
    <row r="103" spans="1:10" ht="26.25">
      <c r="A103" s="94" t="s">
        <v>76</v>
      </c>
      <c r="B103" s="97">
        <f>1754+607</f>
        <v>2361</v>
      </c>
      <c r="C103" s="97">
        <f>45+10</f>
        <v>55</v>
      </c>
      <c r="D103" s="97">
        <f>4+2</f>
        <v>6</v>
      </c>
      <c r="E103" s="97">
        <v>0</v>
      </c>
      <c r="F103" s="97">
        <v>0</v>
      </c>
      <c r="G103" s="97">
        <v>1</v>
      </c>
      <c r="H103" s="97">
        <v>2381</v>
      </c>
      <c r="I103" s="97">
        <v>6</v>
      </c>
      <c r="J103" s="97">
        <v>2387</v>
      </c>
    </row>
    <row r="104" spans="1:10" ht="26.25">
      <c r="A104" s="94" t="s">
        <v>77</v>
      </c>
      <c r="B104" s="97">
        <f>43+148+75+25+82+32+48+112</f>
        <v>565</v>
      </c>
      <c r="C104" s="97">
        <f>3+48+2+12+1+4</f>
        <v>70</v>
      </c>
      <c r="D104" s="97">
        <v>1</v>
      </c>
      <c r="E104" s="97">
        <v>0</v>
      </c>
      <c r="F104" s="97">
        <v>0</v>
      </c>
      <c r="G104" s="97">
        <f>1+1</f>
        <v>2</v>
      </c>
      <c r="H104" s="97">
        <f>44+48+75+56+82+48+15+112</f>
        <v>480</v>
      </c>
      <c r="I104" s="97">
        <f>2+4</f>
        <v>6</v>
      </c>
      <c r="J104" s="97">
        <f>44+48+75+56+82+1+48+20+44</f>
        <v>418</v>
      </c>
    </row>
    <row r="105" spans="1:10" ht="26.25">
      <c r="A105" s="96" t="s">
        <v>78</v>
      </c>
      <c r="B105" s="97">
        <f>3+2+71+71+20+15</f>
        <v>182</v>
      </c>
      <c r="C105" s="97">
        <v>0</v>
      </c>
      <c r="D105" s="97">
        <v>0</v>
      </c>
      <c r="E105" s="97">
        <v>0</v>
      </c>
      <c r="F105" s="97">
        <v>0</v>
      </c>
      <c r="G105" s="97">
        <v>0</v>
      </c>
      <c r="H105" s="97">
        <f>5+17+10+20+20+15+14</f>
        <v>101</v>
      </c>
      <c r="I105" s="97">
        <v>1</v>
      </c>
      <c r="J105" s="97">
        <f>10+5+17+20+20+20+15</f>
        <v>107</v>
      </c>
    </row>
    <row r="106" spans="1:10" ht="26.25">
      <c r="A106" s="96" t="s">
        <v>79</v>
      </c>
      <c r="B106" s="97">
        <f>23+32+28+17+23+40+5+14</f>
        <v>182</v>
      </c>
      <c r="C106" s="97">
        <f>6+4+3+1</f>
        <v>14</v>
      </c>
      <c r="D106" s="97">
        <v>1</v>
      </c>
      <c r="E106" s="97">
        <v>0</v>
      </c>
      <c r="F106" s="97">
        <v>0</v>
      </c>
      <c r="G106" s="97">
        <v>1</v>
      </c>
      <c r="H106" s="97">
        <f>12+18+17+23+14+1</f>
        <v>85</v>
      </c>
      <c r="I106" s="97">
        <f>2+2+1+3</f>
        <v>8</v>
      </c>
      <c r="J106" s="97">
        <f>32+18+22+147+40+31</f>
        <v>290</v>
      </c>
    </row>
    <row r="107" spans="1:10" ht="26.25">
      <c r="A107" s="94" t="s">
        <v>80</v>
      </c>
      <c r="B107" s="97">
        <f>4+8+10+20+156+69+67</f>
        <v>334</v>
      </c>
      <c r="C107" s="97">
        <f>7+1</f>
        <v>8</v>
      </c>
      <c r="D107" s="97">
        <f>2+1</f>
        <v>3</v>
      </c>
      <c r="E107" s="97">
        <v>1</v>
      </c>
      <c r="F107" s="97">
        <v>0</v>
      </c>
      <c r="G107" s="97">
        <v>1</v>
      </c>
      <c r="H107" s="97">
        <f>5+4+1</f>
        <v>10</v>
      </c>
      <c r="I107" s="97">
        <v>4</v>
      </c>
      <c r="J107" s="97">
        <f>157+4+67</f>
        <v>228</v>
      </c>
    </row>
    <row r="108" spans="1:10" ht="26.25">
      <c r="A108" s="94" t="s">
        <v>100</v>
      </c>
      <c r="B108" s="97">
        <v>133</v>
      </c>
      <c r="C108" s="97">
        <v>0</v>
      </c>
      <c r="D108" s="97">
        <v>0</v>
      </c>
      <c r="E108" s="97">
        <v>0</v>
      </c>
      <c r="F108" s="97">
        <v>0</v>
      </c>
      <c r="G108" s="97">
        <v>0</v>
      </c>
      <c r="H108" s="97">
        <v>133</v>
      </c>
      <c r="I108" s="97">
        <v>0</v>
      </c>
      <c r="J108" s="97">
        <v>133</v>
      </c>
    </row>
    <row r="109" spans="1:10" ht="26.25">
      <c r="A109" s="98" t="s">
        <v>88</v>
      </c>
      <c r="B109" s="98">
        <f aca="true" t="shared" si="5" ref="B109:J109">SUM(B99:B108)</f>
        <v>6733</v>
      </c>
      <c r="C109" s="98">
        <f t="shared" si="5"/>
        <v>159</v>
      </c>
      <c r="D109" s="98">
        <f t="shared" si="5"/>
        <v>27</v>
      </c>
      <c r="E109" s="98">
        <f t="shared" si="5"/>
        <v>5</v>
      </c>
      <c r="F109" s="98">
        <f t="shared" si="5"/>
        <v>0</v>
      </c>
      <c r="G109" s="98">
        <f t="shared" si="5"/>
        <v>11</v>
      </c>
      <c r="H109" s="98">
        <f t="shared" si="5"/>
        <v>3928</v>
      </c>
      <c r="I109" s="98">
        <f t="shared" si="5"/>
        <v>303</v>
      </c>
      <c r="J109" s="98">
        <f t="shared" si="5"/>
        <v>4915</v>
      </c>
    </row>
    <row r="115" spans="1:10" ht="26.25">
      <c r="A115" s="175" t="s">
        <v>176</v>
      </c>
      <c r="B115" s="175"/>
      <c r="C115" s="175"/>
      <c r="D115" s="175"/>
      <c r="E115" s="175"/>
      <c r="F115" s="175"/>
      <c r="G115" s="175"/>
      <c r="H115" s="175"/>
      <c r="I115" s="175"/>
      <c r="J115" s="175"/>
    </row>
    <row r="116" spans="1:10" ht="26.25">
      <c r="A116" s="89"/>
      <c r="B116" s="89"/>
      <c r="C116" s="89"/>
      <c r="D116" s="89"/>
      <c r="E116" s="89" t="s">
        <v>222</v>
      </c>
      <c r="F116" s="89"/>
      <c r="G116" s="89"/>
      <c r="H116" s="89"/>
      <c r="I116" s="89"/>
      <c r="J116" s="89"/>
    </row>
    <row r="117" spans="1:10" ht="78.75">
      <c r="A117" s="91" t="s">
        <v>1</v>
      </c>
      <c r="B117" s="92" t="s">
        <v>36</v>
      </c>
      <c r="C117" s="92" t="s">
        <v>37</v>
      </c>
      <c r="D117" s="92" t="s">
        <v>38</v>
      </c>
      <c r="E117" s="92" t="s">
        <v>39</v>
      </c>
      <c r="F117" s="92" t="s">
        <v>168</v>
      </c>
      <c r="G117" s="92" t="s">
        <v>41</v>
      </c>
      <c r="H117" s="91" t="s">
        <v>169</v>
      </c>
      <c r="I117" s="91" t="s">
        <v>170</v>
      </c>
      <c r="J117" s="91" t="s">
        <v>171</v>
      </c>
    </row>
    <row r="118" spans="1:10" ht="26.25">
      <c r="A118" s="94" t="s">
        <v>15</v>
      </c>
      <c r="B118" s="91">
        <f>17+161+24+250+500+47+81+193+18+47+43+22+12+6+121+25</f>
        <v>1567</v>
      </c>
      <c r="C118" s="95">
        <v>0</v>
      </c>
      <c r="D118" s="95">
        <v>0</v>
      </c>
      <c r="E118" s="91">
        <v>0</v>
      </c>
      <c r="F118" s="96">
        <v>0</v>
      </c>
      <c r="G118" s="96">
        <v>0</v>
      </c>
      <c r="H118" s="97">
        <f>50+18+47+43+47+22+12+8+6+26+25</f>
        <v>304</v>
      </c>
      <c r="I118" s="97">
        <v>0</v>
      </c>
      <c r="J118" s="97">
        <f>77+18+47+43+47</f>
        <v>232</v>
      </c>
    </row>
    <row r="119" spans="1:10" ht="26.25">
      <c r="A119" s="96" t="s">
        <v>16</v>
      </c>
      <c r="B119" s="91">
        <f>12+47+56+2+21+17+43+43+22</f>
        <v>263</v>
      </c>
      <c r="C119" s="95">
        <v>0</v>
      </c>
      <c r="D119" s="95">
        <v>10</v>
      </c>
      <c r="E119" s="91">
        <v>0</v>
      </c>
      <c r="F119" s="96">
        <v>0</v>
      </c>
      <c r="G119" s="96">
        <v>1</v>
      </c>
      <c r="H119" s="97">
        <f>43+78+22</f>
        <v>143</v>
      </c>
      <c r="I119" s="97">
        <v>0</v>
      </c>
      <c r="J119" s="97">
        <f>43+78+22</f>
        <v>143</v>
      </c>
    </row>
    <row r="120" spans="1:10" ht="26.25">
      <c r="A120" s="96" t="s">
        <v>74</v>
      </c>
      <c r="B120" s="91">
        <f>710+137+2</f>
        <v>849</v>
      </c>
      <c r="C120" s="95">
        <f>9+1+2</f>
        <v>12</v>
      </c>
      <c r="D120" s="95">
        <v>6</v>
      </c>
      <c r="E120" s="91">
        <f>3+1</f>
        <v>4</v>
      </c>
      <c r="F120" s="96">
        <v>0</v>
      </c>
      <c r="G120" s="96">
        <f>3+1</f>
        <v>4</v>
      </c>
      <c r="H120" s="97">
        <f>18+137+2+2</f>
        <v>159</v>
      </c>
      <c r="I120" s="97">
        <f>238+2</f>
        <v>240</v>
      </c>
      <c r="J120" s="97">
        <f>710+70</f>
        <v>780</v>
      </c>
    </row>
    <row r="121" spans="1:10" ht="26.25">
      <c r="A121" s="94" t="s">
        <v>75</v>
      </c>
      <c r="B121" s="91">
        <f>30+30+30+45+30+56+85+52+85+6</f>
        <v>449</v>
      </c>
      <c r="C121" s="95">
        <v>0</v>
      </c>
      <c r="D121" s="95">
        <v>0</v>
      </c>
      <c r="E121" s="91">
        <v>0</v>
      </c>
      <c r="F121" s="96">
        <v>0</v>
      </c>
      <c r="G121" s="96">
        <v>1</v>
      </c>
      <c r="H121" s="96">
        <f>30+85+52+3+13+6</f>
        <v>189</v>
      </c>
      <c r="I121" s="97">
        <f>25+11+1+1+3</f>
        <v>41</v>
      </c>
      <c r="J121" s="97">
        <f>45+52+85+3+12+6</f>
        <v>203</v>
      </c>
    </row>
    <row r="122" spans="1:10" ht="26.25">
      <c r="A122" s="96" t="s">
        <v>76</v>
      </c>
      <c r="B122" s="97">
        <f>1754+607</f>
        <v>2361</v>
      </c>
      <c r="C122" s="97">
        <f>45+10</f>
        <v>55</v>
      </c>
      <c r="D122" s="97">
        <f>4+2</f>
        <v>6</v>
      </c>
      <c r="E122" s="97">
        <v>0</v>
      </c>
      <c r="F122" s="97">
        <v>0</v>
      </c>
      <c r="G122" s="97">
        <v>1</v>
      </c>
      <c r="H122" s="97">
        <v>2381</v>
      </c>
      <c r="I122" s="97">
        <v>6</v>
      </c>
      <c r="J122" s="97">
        <v>2387</v>
      </c>
    </row>
    <row r="123" spans="1:10" ht="26.25">
      <c r="A123" s="94" t="s">
        <v>77</v>
      </c>
      <c r="B123" s="97">
        <f>43+148+75+25+82+32+48+112+166</f>
        <v>731</v>
      </c>
      <c r="C123" s="97">
        <f>3+48+2+12+1+4+2</f>
        <v>72</v>
      </c>
      <c r="D123" s="97">
        <f>1+2</f>
        <v>3</v>
      </c>
      <c r="E123" s="97">
        <v>0</v>
      </c>
      <c r="F123" s="97">
        <v>0</v>
      </c>
      <c r="G123" s="97">
        <f>1+1+1</f>
        <v>3</v>
      </c>
      <c r="H123" s="97">
        <f>44+48+75+56+82+48+15+112+166</f>
        <v>646</v>
      </c>
      <c r="I123" s="97">
        <f>2+4</f>
        <v>6</v>
      </c>
      <c r="J123" s="97">
        <f>44+48+75+56+82+1+48+20+44+166</f>
        <v>584</v>
      </c>
    </row>
    <row r="124" spans="1:10" ht="26.25">
      <c r="A124" s="94" t="s">
        <v>78</v>
      </c>
      <c r="B124" s="97">
        <f>3+2+71+71+20+15</f>
        <v>182</v>
      </c>
      <c r="C124" s="97">
        <v>0</v>
      </c>
      <c r="D124" s="97">
        <v>0</v>
      </c>
      <c r="E124" s="97">
        <v>0</v>
      </c>
      <c r="F124" s="97">
        <v>0</v>
      </c>
      <c r="G124" s="97">
        <v>0</v>
      </c>
      <c r="H124" s="97">
        <f>5+17+10+20+20+15+14+15</f>
        <v>116</v>
      </c>
      <c r="I124" s="97">
        <v>1</v>
      </c>
      <c r="J124" s="97">
        <f>10+5+17+20+20+20+15+20</f>
        <v>127</v>
      </c>
    </row>
    <row r="125" spans="1:10" ht="26.25">
      <c r="A125" s="96" t="s">
        <v>79</v>
      </c>
      <c r="B125" s="97">
        <f>23+32+28+17+23+40+5+14+15</f>
        <v>197</v>
      </c>
      <c r="C125" s="97">
        <f>6+4+3+1</f>
        <v>14</v>
      </c>
      <c r="D125" s="97">
        <v>1</v>
      </c>
      <c r="E125" s="97">
        <v>0</v>
      </c>
      <c r="F125" s="97">
        <v>0</v>
      </c>
      <c r="G125" s="97">
        <v>1</v>
      </c>
      <c r="H125" s="97">
        <f>12+18+17+23+14+1</f>
        <v>85</v>
      </c>
      <c r="I125" s="97">
        <f>2+2+1+3</f>
        <v>8</v>
      </c>
      <c r="J125" s="97">
        <f>32+18+22+147+40+31</f>
        <v>290</v>
      </c>
    </row>
    <row r="126" spans="1:10" ht="26.25">
      <c r="A126" s="96" t="s">
        <v>80</v>
      </c>
      <c r="B126" s="97">
        <f>4+8+10+20+156+69+67</f>
        <v>334</v>
      </c>
      <c r="C126" s="97">
        <f>7+1</f>
        <v>8</v>
      </c>
      <c r="D126" s="97">
        <f>2+1</f>
        <v>3</v>
      </c>
      <c r="E126" s="97">
        <v>1</v>
      </c>
      <c r="F126" s="97">
        <v>0</v>
      </c>
      <c r="G126" s="97">
        <v>1</v>
      </c>
      <c r="H126" s="97">
        <f>5+4+1</f>
        <v>10</v>
      </c>
      <c r="I126" s="97">
        <v>4</v>
      </c>
      <c r="J126" s="97">
        <f>157+4+67</f>
        <v>228</v>
      </c>
    </row>
    <row r="127" spans="1:10" ht="26.25">
      <c r="A127" s="94" t="s">
        <v>100</v>
      </c>
      <c r="B127" s="97">
        <v>153</v>
      </c>
      <c r="C127" s="97">
        <v>0</v>
      </c>
      <c r="D127" s="97">
        <v>0</v>
      </c>
      <c r="E127" s="97">
        <v>0</v>
      </c>
      <c r="F127" s="97">
        <v>0</v>
      </c>
      <c r="G127" s="97">
        <v>0</v>
      </c>
      <c r="H127" s="97">
        <v>153</v>
      </c>
      <c r="I127" s="97">
        <v>0</v>
      </c>
      <c r="J127" s="97">
        <v>153</v>
      </c>
    </row>
    <row r="128" spans="1:10" ht="26.25">
      <c r="A128" s="98" t="s">
        <v>88</v>
      </c>
      <c r="B128" s="98">
        <f aca="true" t="shared" si="6" ref="B128:J128">SUM(B118:B127)</f>
        <v>7086</v>
      </c>
      <c r="C128" s="98">
        <f t="shared" si="6"/>
        <v>161</v>
      </c>
      <c r="D128" s="98">
        <f t="shared" si="6"/>
        <v>29</v>
      </c>
      <c r="E128" s="98">
        <f t="shared" si="6"/>
        <v>5</v>
      </c>
      <c r="F128" s="98">
        <f t="shared" si="6"/>
        <v>0</v>
      </c>
      <c r="G128" s="98">
        <f t="shared" si="6"/>
        <v>12</v>
      </c>
      <c r="H128" s="98">
        <f t="shared" si="6"/>
        <v>4186</v>
      </c>
      <c r="I128" s="98">
        <f t="shared" si="6"/>
        <v>306</v>
      </c>
      <c r="J128" s="98">
        <f t="shared" si="6"/>
        <v>5127</v>
      </c>
    </row>
    <row r="131" ht="34.5" customHeight="1"/>
    <row r="132" ht="34.5" customHeight="1"/>
    <row r="133" ht="24.75" customHeight="1"/>
    <row r="134" spans="1:10" ht="26.25">
      <c r="A134" s="175" t="s">
        <v>176</v>
      </c>
      <c r="B134" s="175"/>
      <c r="C134" s="175"/>
      <c r="D134" s="175"/>
      <c r="E134" s="175"/>
      <c r="F134" s="175"/>
      <c r="G134" s="175"/>
      <c r="H134" s="175"/>
      <c r="I134" s="175"/>
      <c r="J134" s="175"/>
    </row>
    <row r="135" spans="1:10" ht="26.25">
      <c r="A135" s="89"/>
      <c r="B135" s="89"/>
      <c r="C135" s="89"/>
      <c r="D135" s="89"/>
      <c r="E135" s="89" t="s">
        <v>232</v>
      </c>
      <c r="F135" s="89"/>
      <c r="G135" s="89"/>
      <c r="H135" s="89"/>
      <c r="I135" s="89"/>
      <c r="J135" s="89"/>
    </row>
    <row r="136" spans="1:10" ht="78.75">
      <c r="A136" s="98" t="s">
        <v>1</v>
      </c>
      <c r="B136" s="140" t="s">
        <v>36</v>
      </c>
      <c r="C136" s="140" t="s">
        <v>37</v>
      </c>
      <c r="D136" s="140" t="s">
        <v>38</v>
      </c>
      <c r="E136" s="140" t="s">
        <v>39</v>
      </c>
      <c r="F136" s="140" t="s">
        <v>168</v>
      </c>
      <c r="G136" s="140" t="s">
        <v>41</v>
      </c>
      <c r="H136" s="140" t="s">
        <v>169</v>
      </c>
      <c r="I136" s="140" t="s">
        <v>170</v>
      </c>
      <c r="J136" s="140" t="s">
        <v>171</v>
      </c>
    </row>
    <row r="137" spans="1:10" ht="26.25">
      <c r="A137" s="97" t="s">
        <v>15</v>
      </c>
      <c r="B137" s="97">
        <v>1572</v>
      </c>
      <c r="C137" s="97">
        <v>0</v>
      </c>
      <c r="D137" s="97">
        <v>0</v>
      </c>
      <c r="E137" s="97">
        <v>0</v>
      </c>
      <c r="F137" s="97">
        <v>0</v>
      </c>
      <c r="G137" s="97">
        <v>0</v>
      </c>
      <c r="H137" s="97">
        <v>309</v>
      </c>
      <c r="I137" s="97">
        <v>0</v>
      </c>
      <c r="J137" s="97">
        <v>232</v>
      </c>
    </row>
    <row r="138" spans="1:10" ht="26.25">
      <c r="A138" s="97" t="s">
        <v>16</v>
      </c>
      <c r="B138" s="97">
        <v>263</v>
      </c>
      <c r="C138" s="97">
        <v>0</v>
      </c>
      <c r="D138" s="97">
        <v>10</v>
      </c>
      <c r="E138" s="97">
        <v>0</v>
      </c>
      <c r="F138" s="97">
        <v>0</v>
      </c>
      <c r="G138" s="97">
        <v>1</v>
      </c>
      <c r="H138" s="97">
        <v>143</v>
      </c>
      <c r="I138" s="97">
        <v>0</v>
      </c>
      <c r="J138" s="97">
        <v>143</v>
      </c>
    </row>
    <row r="139" spans="1:10" ht="26.25">
      <c r="A139" s="97" t="s">
        <v>74</v>
      </c>
      <c r="B139" s="97">
        <v>849</v>
      </c>
      <c r="C139" s="97">
        <v>12</v>
      </c>
      <c r="D139" s="97">
        <v>6</v>
      </c>
      <c r="E139" s="97">
        <v>4</v>
      </c>
      <c r="F139" s="97">
        <v>0</v>
      </c>
      <c r="G139" s="97">
        <v>4</v>
      </c>
      <c r="H139" s="97">
        <v>159</v>
      </c>
      <c r="I139" s="97">
        <v>240</v>
      </c>
      <c r="J139" s="97">
        <v>780</v>
      </c>
    </row>
    <row r="140" spans="1:10" ht="26.25">
      <c r="A140" s="97" t="s">
        <v>75</v>
      </c>
      <c r="B140" s="97">
        <v>449</v>
      </c>
      <c r="C140" s="97">
        <v>0</v>
      </c>
      <c r="D140" s="97">
        <v>0</v>
      </c>
      <c r="E140" s="97">
        <v>0</v>
      </c>
      <c r="F140" s="97">
        <v>0</v>
      </c>
      <c r="G140" s="97">
        <v>1</v>
      </c>
      <c r="H140" s="97">
        <v>194</v>
      </c>
      <c r="I140" s="97">
        <v>42</v>
      </c>
      <c r="J140" s="97">
        <v>208</v>
      </c>
    </row>
    <row r="141" spans="1:10" ht="26.25">
      <c r="A141" s="97" t="s">
        <v>76</v>
      </c>
      <c r="B141" s="97">
        <v>2361</v>
      </c>
      <c r="C141" s="97">
        <v>55</v>
      </c>
      <c r="D141" s="97">
        <v>6</v>
      </c>
      <c r="E141" s="97">
        <v>0</v>
      </c>
      <c r="F141" s="97">
        <v>0</v>
      </c>
      <c r="G141" s="97">
        <v>1</v>
      </c>
      <c r="H141" s="97">
        <v>2381</v>
      </c>
      <c r="I141" s="97">
        <v>6</v>
      </c>
      <c r="J141" s="97">
        <v>2387</v>
      </c>
    </row>
    <row r="142" spans="1:10" ht="26.25">
      <c r="A142" s="97" t="s">
        <v>77</v>
      </c>
      <c r="B142" s="97">
        <v>731</v>
      </c>
      <c r="C142" s="97">
        <v>72</v>
      </c>
      <c r="D142" s="97">
        <v>3</v>
      </c>
      <c r="E142" s="97">
        <v>0</v>
      </c>
      <c r="F142" s="97">
        <v>0</v>
      </c>
      <c r="G142" s="97">
        <v>3</v>
      </c>
      <c r="H142" s="97">
        <v>646</v>
      </c>
      <c r="I142" s="97">
        <v>6</v>
      </c>
      <c r="J142" s="97">
        <v>584</v>
      </c>
    </row>
    <row r="143" spans="1:10" ht="26.25">
      <c r="A143" s="97" t="s">
        <v>78</v>
      </c>
      <c r="B143" s="97">
        <v>182</v>
      </c>
      <c r="C143" s="97">
        <v>0</v>
      </c>
      <c r="D143" s="97">
        <v>0</v>
      </c>
      <c r="E143" s="97">
        <v>0</v>
      </c>
      <c r="F143" s="97">
        <v>0</v>
      </c>
      <c r="G143" s="97">
        <v>0</v>
      </c>
      <c r="H143" s="97">
        <v>116</v>
      </c>
      <c r="I143" s="97">
        <v>1</v>
      </c>
      <c r="J143" s="97">
        <v>127</v>
      </c>
    </row>
    <row r="144" spans="1:10" ht="26.25">
      <c r="A144" s="97" t="s">
        <v>79</v>
      </c>
      <c r="B144" s="97">
        <v>197</v>
      </c>
      <c r="C144" s="97">
        <v>14</v>
      </c>
      <c r="D144" s="97">
        <v>1</v>
      </c>
      <c r="E144" s="97">
        <v>0</v>
      </c>
      <c r="F144" s="97">
        <v>0</v>
      </c>
      <c r="G144" s="97">
        <v>1</v>
      </c>
      <c r="H144" s="97">
        <v>85</v>
      </c>
      <c r="I144" s="97">
        <v>8</v>
      </c>
      <c r="J144" s="97">
        <v>290</v>
      </c>
    </row>
    <row r="145" spans="1:10" ht="26.25">
      <c r="A145" s="97" t="s">
        <v>80</v>
      </c>
      <c r="B145" s="97">
        <v>334</v>
      </c>
      <c r="C145" s="97">
        <v>8</v>
      </c>
      <c r="D145" s="97">
        <v>3</v>
      </c>
      <c r="E145" s="97">
        <v>1</v>
      </c>
      <c r="F145" s="97">
        <v>0</v>
      </c>
      <c r="G145" s="97">
        <v>1</v>
      </c>
      <c r="H145" s="97">
        <v>10</v>
      </c>
      <c r="I145" s="97">
        <v>4</v>
      </c>
      <c r="J145" s="97">
        <v>228</v>
      </c>
    </row>
    <row r="146" spans="1:10" ht="26.25">
      <c r="A146" s="97" t="s">
        <v>100</v>
      </c>
      <c r="B146" s="97">
        <v>153</v>
      </c>
      <c r="C146" s="97">
        <v>0</v>
      </c>
      <c r="D146" s="97">
        <v>0</v>
      </c>
      <c r="E146" s="97">
        <v>0</v>
      </c>
      <c r="F146" s="97">
        <v>0</v>
      </c>
      <c r="G146" s="97">
        <v>0</v>
      </c>
      <c r="H146" s="97">
        <v>153</v>
      </c>
      <c r="I146" s="97">
        <v>0</v>
      </c>
      <c r="J146" s="97">
        <v>153</v>
      </c>
    </row>
    <row r="147" spans="1:10" ht="26.25">
      <c r="A147" s="97" t="s">
        <v>88</v>
      </c>
      <c r="B147" s="97">
        <v>7091</v>
      </c>
      <c r="C147" s="97">
        <v>161</v>
      </c>
      <c r="D147" s="97">
        <v>29</v>
      </c>
      <c r="E147" s="97">
        <v>5</v>
      </c>
      <c r="F147" s="97">
        <v>0</v>
      </c>
      <c r="G147" s="97">
        <v>12</v>
      </c>
      <c r="H147" s="97">
        <v>4196</v>
      </c>
      <c r="I147" s="97">
        <v>307</v>
      </c>
      <c r="J147" s="97">
        <v>5132</v>
      </c>
    </row>
    <row r="153" spans="1:10" ht="26.25">
      <c r="A153" s="175" t="s">
        <v>176</v>
      </c>
      <c r="B153" s="175"/>
      <c r="C153" s="175"/>
      <c r="D153" s="175"/>
      <c r="E153" s="175"/>
      <c r="F153" s="175"/>
      <c r="G153" s="175"/>
      <c r="H153" s="175"/>
      <c r="I153" s="175"/>
      <c r="J153" s="175"/>
    </row>
    <row r="154" spans="1:10" ht="26.25">
      <c r="A154" s="89"/>
      <c r="B154" s="89"/>
      <c r="C154" s="89"/>
      <c r="D154" s="89"/>
      <c r="E154" s="89" t="s">
        <v>233</v>
      </c>
      <c r="F154" s="89"/>
      <c r="G154" s="89"/>
      <c r="H154" s="89"/>
      <c r="I154" s="89"/>
      <c r="J154" s="89"/>
    </row>
    <row r="155" spans="1:10" ht="78.75">
      <c r="A155" s="98" t="s">
        <v>1</v>
      </c>
      <c r="B155" s="140" t="s">
        <v>36</v>
      </c>
      <c r="C155" s="140" t="s">
        <v>37</v>
      </c>
      <c r="D155" s="140" t="s">
        <v>38</v>
      </c>
      <c r="E155" s="140" t="s">
        <v>39</v>
      </c>
      <c r="F155" s="140" t="s">
        <v>168</v>
      </c>
      <c r="G155" s="140" t="s">
        <v>41</v>
      </c>
      <c r="H155" s="140" t="s">
        <v>169</v>
      </c>
      <c r="I155" s="140" t="s">
        <v>170</v>
      </c>
      <c r="J155" s="140" t="s">
        <v>171</v>
      </c>
    </row>
    <row r="156" spans="1:10" ht="26.25">
      <c r="A156" s="97" t="s">
        <v>15</v>
      </c>
      <c r="B156" s="97">
        <v>1572</v>
      </c>
      <c r="C156" s="97">
        <v>0</v>
      </c>
      <c r="D156" s="97">
        <v>0</v>
      </c>
      <c r="E156" s="97">
        <v>0</v>
      </c>
      <c r="F156" s="97">
        <v>0</v>
      </c>
      <c r="G156" s="97">
        <v>0</v>
      </c>
      <c r="H156" s="97">
        <v>309</v>
      </c>
      <c r="I156" s="97">
        <v>0</v>
      </c>
      <c r="J156" s="97">
        <v>232</v>
      </c>
    </row>
    <row r="157" spans="1:10" ht="26.25">
      <c r="A157" s="97" t="s">
        <v>16</v>
      </c>
      <c r="B157" s="97">
        <v>263</v>
      </c>
      <c r="C157" s="97">
        <v>0</v>
      </c>
      <c r="D157" s="97">
        <v>10</v>
      </c>
      <c r="E157" s="97">
        <v>0</v>
      </c>
      <c r="F157" s="97">
        <v>0</v>
      </c>
      <c r="G157" s="97">
        <v>1</v>
      </c>
      <c r="H157" s="97">
        <v>143</v>
      </c>
      <c r="I157" s="97">
        <v>0</v>
      </c>
      <c r="J157" s="97">
        <v>143</v>
      </c>
    </row>
    <row r="158" spans="1:10" ht="26.25">
      <c r="A158" s="97" t="s">
        <v>74</v>
      </c>
      <c r="B158" s="97">
        <v>849</v>
      </c>
      <c r="C158" s="97">
        <v>12</v>
      </c>
      <c r="D158" s="97">
        <v>6</v>
      </c>
      <c r="E158" s="97">
        <v>4</v>
      </c>
      <c r="F158" s="97">
        <v>0</v>
      </c>
      <c r="G158" s="97">
        <v>4</v>
      </c>
      <c r="H158" s="97">
        <v>159</v>
      </c>
      <c r="I158" s="97">
        <v>240</v>
      </c>
      <c r="J158" s="97">
        <v>780</v>
      </c>
    </row>
    <row r="159" spans="1:10" ht="26.25">
      <c r="A159" s="97" t="s">
        <v>75</v>
      </c>
      <c r="B159" s="97">
        <v>449</v>
      </c>
      <c r="C159" s="97">
        <v>0</v>
      </c>
      <c r="D159" s="97">
        <v>0</v>
      </c>
      <c r="E159" s="97">
        <v>0</v>
      </c>
      <c r="F159" s="97">
        <v>0</v>
      </c>
      <c r="G159" s="97">
        <v>1</v>
      </c>
      <c r="H159" s="97">
        <v>194</v>
      </c>
      <c r="I159" s="97">
        <v>42</v>
      </c>
      <c r="J159" s="97">
        <v>208</v>
      </c>
    </row>
    <row r="160" spans="1:10" ht="26.25">
      <c r="A160" s="97" t="s">
        <v>76</v>
      </c>
      <c r="B160" s="97">
        <v>2361</v>
      </c>
      <c r="C160" s="97">
        <v>55</v>
      </c>
      <c r="D160" s="97">
        <v>6</v>
      </c>
      <c r="E160" s="97">
        <v>0</v>
      </c>
      <c r="F160" s="97">
        <v>0</v>
      </c>
      <c r="G160" s="97">
        <v>1</v>
      </c>
      <c r="H160" s="97">
        <v>2381</v>
      </c>
      <c r="I160" s="97">
        <v>6</v>
      </c>
      <c r="J160" s="97">
        <v>2387</v>
      </c>
    </row>
    <row r="161" spans="1:10" ht="26.25">
      <c r="A161" s="97" t="s">
        <v>77</v>
      </c>
      <c r="B161" s="97">
        <v>731</v>
      </c>
      <c r="C161" s="97">
        <v>72</v>
      </c>
      <c r="D161" s="97">
        <v>3</v>
      </c>
      <c r="E161" s="97">
        <v>0</v>
      </c>
      <c r="F161" s="97">
        <v>0</v>
      </c>
      <c r="G161" s="97">
        <v>3</v>
      </c>
      <c r="H161" s="97">
        <v>646</v>
      </c>
      <c r="I161" s="97">
        <v>6</v>
      </c>
      <c r="J161" s="97">
        <v>584</v>
      </c>
    </row>
    <row r="162" spans="1:10" ht="26.25">
      <c r="A162" s="97" t="s">
        <v>78</v>
      </c>
      <c r="B162" s="97">
        <v>182</v>
      </c>
      <c r="C162" s="97">
        <v>0</v>
      </c>
      <c r="D162" s="97">
        <v>0</v>
      </c>
      <c r="E162" s="97">
        <v>0</v>
      </c>
      <c r="F162" s="97">
        <v>0</v>
      </c>
      <c r="G162" s="97">
        <v>0</v>
      </c>
      <c r="H162" s="97">
        <v>116</v>
      </c>
      <c r="I162" s="97">
        <v>1</v>
      </c>
      <c r="J162" s="97">
        <v>127</v>
      </c>
    </row>
    <row r="163" spans="1:10" ht="26.25">
      <c r="A163" s="97" t="s">
        <v>79</v>
      </c>
      <c r="B163" s="97">
        <v>197</v>
      </c>
      <c r="C163" s="97">
        <v>14</v>
      </c>
      <c r="D163" s="97">
        <v>1</v>
      </c>
      <c r="E163" s="97">
        <v>0</v>
      </c>
      <c r="F163" s="97">
        <v>0</v>
      </c>
      <c r="G163" s="97">
        <v>1</v>
      </c>
      <c r="H163" s="97">
        <v>85</v>
      </c>
      <c r="I163" s="97">
        <v>8</v>
      </c>
      <c r="J163" s="97">
        <v>290</v>
      </c>
    </row>
    <row r="164" spans="1:10" ht="26.25">
      <c r="A164" s="97" t="s">
        <v>80</v>
      </c>
      <c r="B164" s="97">
        <v>334</v>
      </c>
      <c r="C164" s="97">
        <v>8</v>
      </c>
      <c r="D164" s="97">
        <v>3</v>
      </c>
      <c r="E164" s="97">
        <v>1</v>
      </c>
      <c r="F164" s="97">
        <v>0</v>
      </c>
      <c r="G164" s="97">
        <v>1</v>
      </c>
      <c r="H164" s="97">
        <v>10</v>
      </c>
      <c r="I164" s="97">
        <v>4</v>
      </c>
      <c r="J164" s="97">
        <v>228</v>
      </c>
    </row>
    <row r="165" spans="1:10" ht="26.25">
      <c r="A165" s="97" t="s">
        <v>100</v>
      </c>
      <c r="B165" s="97">
        <v>153</v>
      </c>
      <c r="C165" s="97">
        <v>0</v>
      </c>
      <c r="D165" s="97">
        <v>0</v>
      </c>
      <c r="E165" s="97">
        <v>0</v>
      </c>
      <c r="F165" s="97">
        <v>0</v>
      </c>
      <c r="G165" s="97">
        <v>0</v>
      </c>
      <c r="H165" s="97">
        <v>153</v>
      </c>
      <c r="I165" s="97">
        <v>0</v>
      </c>
      <c r="J165" s="97">
        <v>153</v>
      </c>
    </row>
    <row r="166" spans="1:10" ht="26.25">
      <c r="A166" s="97" t="s">
        <v>88</v>
      </c>
      <c r="B166" s="97">
        <v>7091</v>
      </c>
      <c r="C166" s="97">
        <v>161</v>
      </c>
      <c r="D166" s="97">
        <v>29</v>
      </c>
      <c r="E166" s="97">
        <v>5</v>
      </c>
      <c r="F166" s="97">
        <v>0</v>
      </c>
      <c r="G166" s="97">
        <v>12</v>
      </c>
      <c r="H166" s="97">
        <v>4196</v>
      </c>
      <c r="I166" s="97">
        <v>307</v>
      </c>
      <c r="J166" s="97">
        <v>5132</v>
      </c>
    </row>
    <row r="169" spans="1:10" ht="26.25">
      <c r="A169" s="175" t="s">
        <v>176</v>
      </c>
      <c r="B169" s="175"/>
      <c r="C169" s="175"/>
      <c r="D169" s="175"/>
      <c r="E169" s="175"/>
      <c r="F169" s="175"/>
      <c r="G169" s="175"/>
      <c r="H169" s="175"/>
      <c r="I169" s="175"/>
      <c r="J169" s="175"/>
    </row>
    <row r="170" spans="1:10" ht="26.25">
      <c r="A170" s="89"/>
      <c r="B170" s="89"/>
      <c r="C170" s="89"/>
      <c r="D170" s="89"/>
      <c r="E170" s="89" t="s">
        <v>237</v>
      </c>
      <c r="F170" s="89"/>
      <c r="G170" s="89"/>
      <c r="H170" s="89"/>
      <c r="I170" s="89"/>
      <c r="J170" s="89"/>
    </row>
    <row r="171" spans="1:10" ht="78.75">
      <c r="A171" s="98" t="s">
        <v>1</v>
      </c>
      <c r="B171" s="140" t="s">
        <v>36</v>
      </c>
      <c r="C171" s="140" t="s">
        <v>37</v>
      </c>
      <c r="D171" s="140" t="s">
        <v>38</v>
      </c>
      <c r="E171" s="140" t="s">
        <v>39</v>
      </c>
      <c r="F171" s="140" t="s">
        <v>168</v>
      </c>
      <c r="G171" s="140" t="s">
        <v>41</v>
      </c>
      <c r="H171" s="140" t="s">
        <v>169</v>
      </c>
      <c r="I171" s="140" t="s">
        <v>170</v>
      </c>
      <c r="J171" s="140" t="s">
        <v>171</v>
      </c>
    </row>
    <row r="172" spans="1:10" ht="26.25">
      <c r="A172" s="94" t="s">
        <v>15</v>
      </c>
      <c r="B172" s="97">
        <f>1572+35</f>
        <v>1607</v>
      </c>
      <c r="C172" s="97">
        <v>0</v>
      </c>
      <c r="D172" s="97">
        <v>0</v>
      </c>
      <c r="E172" s="97">
        <v>0</v>
      </c>
      <c r="F172" s="97">
        <v>0</v>
      </c>
      <c r="G172" s="97">
        <v>0</v>
      </c>
      <c r="H172" s="97">
        <v>309</v>
      </c>
      <c r="I172" s="97">
        <v>0</v>
      </c>
      <c r="J172" s="97">
        <v>232</v>
      </c>
    </row>
    <row r="173" spans="1:10" ht="26.25">
      <c r="A173" s="97" t="s">
        <v>16</v>
      </c>
      <c r="B173" s="97">
        <v>263</v>
      </c>
      <c r="C173" s="97">
        <v>0</v>
      </c>
      <c r="D173" s="97">
        <v>10</v>
      </c>
      <c r="E173" s="97">
        <v>0</v>
      </c>
      <c r="F173" s="97">
        <v>0</v>
      </c>
      <c r="G173" s="97">
        <v>1</v>
      </c>
      <c r="H173" s="97">
        <v>143</v>
      </c>
      <c r="I173" s="97">
        <v>0</v>
      </c>
      <c r="J173" s="97">
        <v>143</v>
      </c>
    </row>
    <row r="174" spans="1:10" ht="26.25">
      <c r="A174" s="97" t="s">
        <v>74</v>
      </c>
      <c r="B174" s="97">
        <v>849</v>
      </c>
      <c r="C174" s="97">
        <v>12</v>
      </c>
      <c r="D174" s="97">
        <v>6</v>
      </c>
      <c r="E174" s="97">
        <v>4</v>
      </c>
      <c r="F174" s="97">
        <v>0</v>
      </c>
      <c r="G174" s="97">
        <v>4</v>
      </c>
      <c r="H174" s="97">
        <v>159</v>
      </c>
      <c r="I174" s="97">
        <v>240</v>
      </c>
      <c r="J174" s="97">
        <v>780</v>
      </c>
    </row>
    <row r="175" spans="1:10" ht="26.25">
      <c r="A175" s="94" t="s">
        <v>75</v>
      </c>
      <c r="B175" s="97">
        <f>449+6</f>
        <v>455</v>
      </c>
      <c r="C175" s="97">
        <v>0</v>
      </c>
      <c r="D175" s="97">
        <v>0</v>
      </c>
      <c r="E175" s="97">
        <v>0</v>
      </c>
      <c r="F175" s="97">
        <v>0</v>
      </c>
      <c r="G175" s="97">
        <v>1</v>
      </c>
      <c r="H175" s="97">
        <f>194+1</f>
        <v>195</v>
      </c>
      <c r="I175" s="97">
        <f>42</f>
        <v>42</v>
      </c>
      <c r="J175" s="97">
        <f>208+1</f>
        <v>209</v>
      </c>
    </row>
    <row r="176" spans="1:10" ht="26.25">
      <c r="A176" s="97" t="s">
        <v>76</v>
      </c>
      <c r="B176" s="97">
        <v>2361</v>
      </c>
      <c r="C176" s="97">
        <v>55</v>
      </c>
      <c r="D176" s="97">
        <v>6</v>
      </c>
      <c r="E176" s="97">
        <v>0</v>
      </c>
      <c r="F176" s="97">
        <v>0</v>
      </c>
      <c r="G176" s="97">
        <v>1</v>
      </c>
      <c r="H176" s="97">
        <v>2381</v>
      </c>
      <c r="I176" s="97">
        <v>6</v>
      </c>
      <c r="J176" s="97">
        <v>2387</v>
      </c>
    </row>
    <row r="177" spans="1:10" ht="26.25">
      <c r="A177" s="94" t="s">
        <v>77</v>
      </c>
      <c r="B177" s="97">
        <f>731+30</f>
        <v>761</v>
      </c>
      <c r="C177" s="97">
        <f>72+2</f>
        <v>74</v>
      </c>
      <c r="D177" s="97">
        <v>3</v>
      </c>
      <c r="E177" s="97">
        <v>0</v>
      </c>
      <c r="F177" s="97">
        <v>0</v>
      </c>
      <c r="G177" s="97">
        <v>7</v>
      </c>
      <c r="H177" s="97">
        <f>646+30</f>
        <v>676</v>
      </c>
      <c r="I177" s="97">
        <f>6+7</f>
        <v>13</v>
      </c>
      <c r="J177" s="97">
        <f>584+30</f>
        <v>614</v>
      </c>
    </row>
    <row r="178" spans="1:10" ht="26.25">
      <c r="A178" s="97" t="s">
        <v>78</v>
      </c>
      <c r="B178" s="97">
        <v>182</v>
      </c>
      <c r="C178" s="97">
        <v>0</v>
      </c>
      <c r="D178" s="97">
        <v>0</v>
      </c>
      <c r="E178" s="97">
        <v>0</v>
      </c>
      <c r="F178" s="97">
        <v>0</v>
      </c>
      <c r="G178" s="97">
        <v>0</v>
      </c>
      <c r="H178" s="97">
        <v>116</v>
      </c>
      <c r="I178" s="97">
        <v>1</v>
      </c>
      <c r="J178" s="97">
        <v>127</v>
      </c>
    </row>
    <row r="179" spans="1:10" ht="26.25">
      <c r="A179" s="97" t="s">
        <v>79</v>
      </c>
      <c r="B179" s="97">
        <v>197</v>
      </c>
      <c r="C179" s="97">
        <v>14</v>
      </c>
      <c r="D179" s="97">
        <v>1</v>
      </c>
      <c r="E179" s="97">
        <v>0</v>
      </c>
      <c r="F179" s="97">
        <v>0</v>
      </c>
      <c r="G179" s="97">
        <v>1</v>
      </c>
      <c r="H179" s="97">
        <v>85</v>
      </c>
      <c r="I179" s="97">
        <v>8</v>
      </c>
      <c r="J179" s="97">
        <v>290</v>
      </c>
    </row>
    <row r="180" spans="1:10" ht="26.25">
      <c r="A180" s="97" t="s">
        <v>80</v>
      </c>
      <c r="B180" s="97">
        <v>334</v>
      </c>
      <c r="C180" s="97">
        <v>8</v>
      </c>
      <c r="D180" s="97">
        <v>3</v>
      </c>
      <c r="E180" s="97">
        <v>1</v>
      </c>
      <c r="F180" s="97">
        <v>0</v>
      </c>
      <c r="G180" s="97">
        <v>1</v>
      </c>
      <c r="H180" s="97">
        <v>10</v>
      </c>
      <c r="I180" s="97">
        <v>4</v>
      </c>
      <c r="J180" s="97">
        <v>228</v>
      </c>
    </row>
    <row r="181" spans="1:10" ht="26.25">
      <c r="A181" s="97" t="s">
        <v>100</v>
      </c>
      <c r="B181" s="97">
        <v>153</v>
      </c>
      <c r="C181" s="97">
        <v>0</v>
      </c>
      <c r="D181" s="97">
        <v>0</v>
      </c>
      <c r="E181" s="97">
        <v>0</v>
      </c>
      <c r="F181" s="97">
        <v>0</v>
      </c>
      <c r="G181" s="97">
        <v>0</v>
      </c>
      <c r="H181" s="97">
        <v>153</v>
      </c>
      <c r="I181" s="97">
        <v>0</v>
      </c>
      <c r="J181" s="97">
        <v>153</v>
      </c>
    </row>
    <row r="182" spans="1:10" ht="26.25">
      <c r="A182" s="97" t="s">
        <v>88</v>
      </c>
      <c r="B182" s="97">
        <v>7091</v>
      </c>
      <c r="C182" s="97">
        <v>161</v>
      </c>
      <c r="D182" s="97">
        <v>29</v>
      </c>
      <c r="E182" s="97">
        <v>5</v>
      </c>
      <c r="F182" s="97">
        <v>0</v>
      </c>
      <c r="G182" s="97">
        <v>12</v>
      </c>
      <c r="H182" s="97">
        <v>4196</v>
      </c>
      <c r="I182" s="97">
        <v>307</v>
      </c>
      <c r="J182" s="97">
        <v>5132</v>
      </c>
    </row>
    <row r="190" spans="1:10" ht="26.25">
      <c r="A190" s="175" t="s">
        <v>176</v>
      </c>
      <c r="B190" s="175"/>
      <c r="C190" s="175"/>
      <c r="D190" s="175"/>
      <c r="E190" s="175"/>
      <c r="F190" s="175"/>
      <c r="G190" s="175"/>
      <c r="H190" s="175"/>
      <c r="I190" s="175"/>
      <c r="J190" s="175"/>
    </row>
    <row r="191" spans="1:10" ht="26.25">
      <c r="A191" s="89"/>
      <c r="B191" s="89"/>
      <c r="C191" s="89"/>
      <c r="D191" s="89"/>
      <c r="E191" s="89" t="s">
        <v>241</v>
      </c>
      <c r="F191" s="89"/>
      <c r="G191" s="89"/>
      <c r="H191" s="89"/>
      <c r="I191" s="89"/>
      <c r="J191" s="89"/>
    </row>
    <row r="192" spans="1:10" ht="78.75">
      <c r="A192" s="98" t="s">
        <v>1</v>
      </c>
      <c r="B192" s="140" t="s">
        <v>36</v>
      </c>
      <c r="C192" s="140" t="s">
        <v>37</v>
      </c>
      <c r="D192" s="140" t="s">
        <v>38</v>
      </c>
      <c r="E192" s="140" t="s">
        <v>39</v>
      </c>
      <c r="F192" s="140" t="s">
        <v>168</v>
      </c>
      <c r="G192" s="140" t="s">
        <v>41</v>
      </c>
      <c r="H192" s="140" t="s">
        <v>169</v>
      </c>
      <c r="I192" s="140" t="s">
        <v>170</v>
      </c>
      <c r="J192" s="140" t="s">
        <v>171</v>
      </c>
    </row>
    <row r="193" spans="1:10" ht="26.25">
      <c r="A193" s="94" t="s">
        <v>15</v>
      </c>
      <c r="B193" s="97">
        <f>1572+35+38</f>
        <v>1645</v>
      </c>
      <c r="C193" s="97">
        <v>0</v>
      </c>
      <c r="D193" s="97">
        <v>0</v>
      </c>
      <c r="E193" s="97">
        <v>0</v>
      </c>
      <c r="F193" s="97">
        <v>0</v>
      </c>
      <c r="G193" s="97">
        <v>0</v>
      </c>
      <c r="H193" s="97">
        <v>309</v>
      </c>
      <c r="I193" s="97">
        <v>0</v>
      </c>
      <c r="J193" s="97">
        <v>232</v>
      </c>
    </row>
    <row r="194" spans="1:10" ht="26.25">
      <c r="A194" s="96" t="s">
        <v>16</v>
      </c>
      <c r="B194" s="97">
        <v>263</v>
      </c>
      <c r="C194" s="97">
        <v>0</v>
      </c>
      <c r="D194" s="97">
        <v>10</v>
      </c>
      <c r="E194" s="97">
        <v>0</v>
      </c>
      <c r="F194" s="97">
        <v>0</v>
      </c>
      <c r="G194" s="97">
        <v>1</v>
      </c>
      <c r="H194" s="97">
        <v>143</v>
      </c>
      <c r="I194" s="97">
        <v>0</v>
      </c>
      <c r="J194" s="97">
        <v>143</v>
      </c>
    </row>
    <row r="195" spans="1:10" ht="26.25">
      <c r="A195" s="96" t="s">
        <v>74</v>
      </c>
      <c r="B195" s="97">
        <v>849</v>
      </c>
      <c r="C195" s="97">
        <v>12</v>
      </c>
      <c r="D195" s="97">
        <v>6</v>
      </c>
      <c r="E195" s="97">
        <v>4</v>
      </c>
      <c r="F195" s="97">
        <v>0</v>
      </c>
      <c r="G195" s="97">
        <v>4</v>
      </c>
      <c r="H195" s="97">
        <v>159</v>
      </c>
      <c r="I195" s="97">
        <v>240</v>
      </c>
      <c r="J195" s="97">
        <v>780</v>
      </c>
    </row>
    <row r="196" spans="1:10" ht="26.25">
      <c r="A196" s="96" t="s">
        <v>75</v>
      </c>
      <c r="B196" s="97">
        <f>449+6</f>
        <v>455</v>
      </c>
      <c r="C196" s="97">
        <v>0</v>
      </c>
      <c r="D196" s="97">
        <v>0</v>
      </c>
      <c r="E196" s="97">
        <v>0</v>
      </c>
      <c r="F196" s="97">
        <v>0</v>
      </c>
      <c r="G196" s="97">
        <v>1</v>
      </c>
      <c r="H196" s="97">
        <f>194+1</f>
        <v>195</v>
      </c>
      <c r="I196" s="97">
        <f>42</f>
        <v>42</v>
      </c>
      <c r="J196" s="97">
        <f>208+1</f>
        <v>209</v>
      </c>
    </row>
    <row r="197" spans="1:10" ht="26.25">
      <c r="A197" s="96" t="s">
        <v>76</v>
      </c>
      <c r="B197" s="97">
        <v>2361</v>
      </c>
      <c r="C197" s="97">
        <v>55</v>
      </c>
      <c r="D197" s="97">
        <v>6</v>
      </c>
      <c r="E197" s="97">
        <v>0</v>
      </c>
      <c r="F197" s="97">
        <v>0</v>
      </c>
      <c r="G197" s="97">
        <v>1</v>
      </c>
      <c r="H197" s="97">
        <v>2381</v>
      </c>
      <c r="I197" s="97">
        <v>6</v>
      </c>
      <c r="J197" s="97">
        <v>2387</v>
      </c>
    </row>
    <row r="198" spans="1:10" ht="26.25">
      <c r="A198" s="94" t="s">
        <v>77</v>
      </c>
      <c r="B198" s="97">
        <f>731+30+75</f>
        <v>836</v>
      </c>
      <c r="C198" s="97">
        <f>72+2+3</f>
        <v>77</v>
      </c>
      <c r="D198" s="97">
        <v>3</v>
      </c>
      <c r="E198" s="97">
        <v>0</v>
      </c>
      <c r="F198" s="97">
        <v>0</v>
      </c>
      <c r="G198" s="97">
        <f>7+2</f>
        <v>9</v>
      </c>
      <c r="H198" s="97">
        <f>646+30+75</f>
        <v>751</v>
      </c>
      <c r="I198" s="97">
        <f>6+7+2</f>
        <v>15</v>
      </c>
      <c r="J198" s="97">
        <f>584+30</f>
        <v>614</v>
      </c>
    </row>
    <row r="199" spans="1:10" ht="26.25">
      <c r="A199" s="97" t="s">
        <v>78</v>
      </c>
      <c r="B199" s="97">
        <v>182</v>
      </c>
      <c r="C199" s="97">
        <v>0</v>
      </c>
      <c r="D199" s="97">
        <v>0</v>
      </c>
      <c r="E199" s="97">
        <v>0</v>
      </c>
      <c r="F199" s="97">
        <v>0</v>
      </c>
      <c r="G199" s="97">
        <v>0</v>
      </c>
      <c r="H199" s="97">
        <v>116</v>
      </c>
      <c r="I199" s="97">
        <v>1</v>
      </c>
      <c r="J199" s="97">
        <f>127+75</f>
        <v>202</v>
      </c>
    </row>
    <row r="200" spans="1:10" ht="26.25">
      <c r="A200" s="97" t="s">
        <v>79</v>
      </c>
      <c r="B200" s="97">
        <v>197</v>
      </c>
      <c r="C200" s="97">
        <v>14</v>
      </c>
      <c r="D200" s="97">
        <v>1</v>
      </c>
      <c r="E200" s="97">
        <v>0</v>
      </c>
      <c r="F200" s="97">
        <v>0</v>
      </c>
      <c r="G200" s="97">
        <v>1</v>
      </c>
      <c r="H200" s="97">
        <v>85</v>
      </c>
      <c r="I200" s="97">
        <v>8</v>
      </c>
      <c r="J200" s="97">
        <v>290</v>
      </c>
    </row>
    <row r="201" spans="1:10" ht="26.25">
      <c r="A201" s="94" t="s">
        <v>80</v>
      </c>
      <c r="B201" s="97">
        <f>334+78</f>
        <v>412</v>
      </c>
      <c r="C201" s="97">
        <f>8+5</f>
        <v>13</v>
      </c>
      <c r="D201" s="97">
        <v>3</v>
      </c>
      <c r="E201" s="97">
        <v>1</v>
      </c>
      <c r="F201" s="97">
        <v>0</v>
      </c>
      <c r="G201" s="97">
        <v>1</v>
      </c>
      <c r="H201" s="97">
        <f>10+5</f>
        <v>15</v>
      </c>
      <c r="I201" s="97">
        <f>4+4</f>
        <v>8</v>
      </c>
      <c r="J201" s="97">
        <f>228+275</f>
        <v>503</v>
      </c>
    </row>
    <row r="202" spans="1:10" ht="26.25">
      <c r="A202" s="94" t="s">
        <v>100</v>
      </c>
      <c r="B202" s="97">
        <v>183</v>
      </c>
      <c r="C202" s="97">
        <v>0</v>
      </c>
      <c r="D202" s="97">
        <v>0</v>
      </c>
      <c r="E202" s="97">
        <v>0</v>
      </c>
      <c r="F202" s="97">
        <v>0</v>
      </c>
      <c r="G202" s="97">
        <v>0</v>
      </c>
      <c r="H202" s="97">
        <v>183</v>
      </c>
      <c r="I202" s="97">
        <v>0</v>
      </c>
      <c r="J202" s="97">
        <v>183</v>
      </c>
    </row>
    <row r="203" spans="1:10" ht="26.25">
      <c r="A203" s="97" t="s">
        <v>88</v>
      </c>
      <c r="B203" s="97">
        <v>7091</v>
      </c>
      <c r="C203" s="97">
        <v>161</v>
      </c>
      <c r="D203" s="97">
        <v>29</v>
      </c>
      <c r="E203" s="97">
        <v>5</v>
      </c>
      <c r="F203" s="97">
        <v>0</v>
      </c>
      <c r="G203" s="97">
        <v>12</v>
      </c>
      <c r="H203" s="97">
        <v>4196</v>
      </c>
      <c r="I203" s="97">
        <v>307</v>
      </c>
      <c r="J203" s="97">
        <v>5132</v>
      </c>
    </row>
  </sheetData>
  <sheetProtection/>
  <mergeCells count="11">
    <mergeCell ref="A1:J1"/>
    <mergeCell ref="A20:J20"/>
    <mergeCell ref="A39:J39"/>
    <mergeCell ref="A58:J58"/>
    <mergeCell ref="A115:J115"/>
    <mergeCell ref="A190:J190"/>
    <mergeCell ref="A96:J96"/>
    <mergeCell ref="A77:J77"/>
    <mergeCell ref="A169:J169"/>
    <mergeCell ref="A134:J134"/>
    <mergeCell ref="A153:J153"/>
  </mergeCells>
  <printOptions/>
  <pageMargins left="0" right="0" top="0.3937007874015748" bottom="0.3937007874015748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</cp:lastModifiedBy>
  <cp:lastPrinted>2011-10-12T06:31:19Z</cp:lastPrinted>
  <dcterms:created xsi:type="dcterms:W3CDTF">2010-10-27T08:32:44Z</dcterms:created>
  <dcterms:modified xsi:type="dcterms:W3CDTF">2011-10-14T04:26:37Z</dcterms:modified>
  <cp:category/>
  <cp:version/>
  <cp:contentType/>
  <cp:contentStatus/>
</cp:coreProperties>
</file>